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C:\Users\jcancino\Desktop\"/>
    </mc:Choice>
  </mc:AlternateContent>
  <xr:revisionPtr revIDLastSave="0" documentId="13_ncr:1_{151CA6E7-4926-4026-AC40-FBFB9222C89F}" xr6:coauthVersionLast="47" xr6:coauthVersionMax="47" xr10:uidLastSave="{00000000-0000-0000-0000-000000000000}"/>
  <bookViews>
    <workbookView xWindow="-120" yWindow="-120" windowWidth="29040" windowHeight="15720" tabRatio="1000" activeTab="1" xr2:uid="{00000000-000D-0000-FFFF-FFFF00000000}"/>
  </bookViews>
  <sheets>
    <sheet name="GRAFICOS" sheetId="129" r:id="rId1"/>
    <sheet name="CONSOLIDADO" sheetId="39" r:id="rId2"/>
    <sheet name="P01 2025" sheetId="140" state="hidden" r:id="rId3"/>
    <sheet name="Prog 01" sheetId="4" r:id="rId4"/>
    <sheet name="Prog 02" sheetId="35" r:id="rId5"/>
    <sheet name="Prog 03" sheetId="37" r:id="rId6"/>
    <sheet name="Prog 05" sheetId="54" r:id="rId7"/>
    <sheet name="P01 2024" sheetId="136" state="hidden" r:id="rId8"/>
    <sheet name="P02 2025" sheetId="141" state="hidden" r:id="rId9"/>
    <sheet name="P02 2024" sheetId="137" state="hidden" r:id="rId10"/>
    <sheet name="P05 2025" sheetId="143" state="hidden" r:id="rId11"/>
    <sheet name="P05 2024" sheetId="139" state="hidden" r:id="rId12"/>
    <sheet name="P03 2024" sheetId="138" state="hidden" r:id="rId13"/>
    <sheet name="P03 2025" sheetId="142" state="hidden" r:id="rId14"/>
  </sheets>
  <externalReferences>
    <externalReference r:id="rId15"/>
    <externalReference r:id="rId16"/>
  </externalReferences>
  <definedNames>
    <definedName name="_xlnm._FilterDatabase" localSheetId="1" hidden="1">CONSOLIDADO!$A$9:$AX$307</definedName>
    <definedName name="_xlnm._FilterDatabase" localSheetId="7" hidden="1">'P01 2024'!$A$2:$FU$2</definedName>
    <definedName name="_xlnm._FilterDatabase" localSheetId="2" hidden="1">'P01 2025'!$A$2:$I$145</definedName>
    <definedName name="_xlnm._FilterDatabase" localSheetId="9" hidden="1">'P02 2024'!$A$2:$J$43</definedName>
    <definedName name="_xlnm._FilterDatabase" localSheetId="8" hidden="1">'P02 2025'!$A$2:$L$2</definedName>
    <definedName name="_xlnm._FilterDatabase" localSheetId="12" hidden="1">'P03 2024'!$A$2:$J$38</definedName>
    <definedName name="_xlnm._FilterDatabase" localSheetId="3" hidden="1">'Prog 01'!$A$9:$CC$208</definedName>
    <definedName name="_xlnm._FilterDatabase" localSheetId="4" hidden="1">'Prog 02'!$A$9:$AO$63</definedName>
    <definedName name="_xlnm._FilterDatabase" localSheetId="5" hidden="1">'Prog 03'!$A$11:$AI$61</definedName>
    <definedName name="_xlnm._FilterDatabase" localSheetId="6" hidden="1">'Prog 05'!$A$9:$AQ$72</definedName>
    <definedName name="ABRIL2012">#REF!</definedName>
    <definedName name="AGOSTO_2012">#REF!</definedName>
    <definedName name="anualpro032012">#REF!</definedName>
    <definedName name="anualprog012013">#REF!</definedName>
    <definedName name="anualprog022013">#REF!</definedName>
    <definedName name="anualprog032013">#REF!</definedName>
    <definedName name="_xlnm.Print_Area" localSheetId="1">CONSOLIDADO!$B$2:$R$319</definedName>
    <definedName name="_xlnm.Print_Area" localSheetId="3">'Prog 01'!$C$2:$S$208</definedName>
    <definedName name="_xlnm.Print_Area" localSheetId="4">'Prog 02'!$B$2:$R$63</definedName>
    <definedName name="_xlnm.Print_Area" localSheetId="5">'Prog 03'!$B$4:$R$61</definedName>
    <definedName name="_xlnm.Print_Area" localSheetId="6">'Prog 05'!$B$2:$R$72</definedName>
    <definedName name="CÓDIGO">#REF!</definedName>
    <definedName name="coincidenciaP01">'Prog 01'!$G:$P</definedName>
    <definedName name="Compromiso_ENERO">#REF!</definedName>
    <definedName name="compromisosjulio">#REF!</definedName>
    <definedName name="Concepto2022">#REF!</definedName>
    <definedName name="CTA_PRES">'[1]Clasificador Presupuestario'!$A$1:$C$593</definedName>
    <definedName name="Cta_Presp">'[2]Clasificador Presupuestario'!$A$1:$C$627</definedName>
    <definedName name="Devengado_enero">#REF!</definedName>
    <definedName name="Devengado2022">#REF!</definedName>
    <definedName name="Devengadojulio">#REF!</definedName>
    <definedName name="DICIEMBRE_2012">#REF!</definedName>
    <definedName name="EENERO23">#REF!</definedName>
    <definedName name="EJECUCIO_AGOSTO_2013_2">#REF!</definedName>
    <definedName name="EJECUCION_31_07_2013">#REF!</definedName>
    <definedName name="EJECUCION_ACUMULADA_AL_25_09_2013">#REF!</definedName>
    <definedName name="EJECUCION_ACUMULADA_AL_30_NOVIEMBRE_2013">#REF!</definedName>
    <definedName name="Ejecucion_Acumulada_al_30_Septiembre">#REF!</definedName>
    <definedName name="EJECUCION_ACUMULADA_AL_31_DE_AGOSTO_DEL_2013">#REF!</definedName>
    <definedName name="EJECUCIÓN_ACUMULADA_AL_31_DE_MARZO_DEL_2014">#REF!</definedName>
    <definedName name="EJECUCION_ACUMULADA_AL_31_OCTUBRE_2013">#REF!</definedName>
    <definedName name="EJECUCION_AGOSTO_2012">#REF!</definedName>
    <definedName name="EJECUCION_AGOSTO_2013">#REF!</definedName>
    <definedName name="EJECUCION_AL_25_09_2013">#REF!</definedName>
    <definedName name="Ejecución_al_30_sep_2013">#REF!</definedName>
    <definedName name="EJECUCION_AL_31_07_2013">#REF!</definedName>
    <definedName name="EJECUCION_JULIO_2012">#REF!</definedName>
    <definedName name="EJECUCION_JULIO_2013">#REF!</definedName>
    <definedName name="EJECUCIÓN_PRESUPUESTARIA_ACUMULADA_AL_13_DE_MARZO_DE_2018">#REF!</definedName>
    <definedName name="EJECUCION_PRESUPUESTARIA_AL_31_DE_MARZO_2014">#REF!</definedName>
    <definedName name="Ejecución_Septiembre">#REF!</definedName>
    <definedName name="Ejecución_Septiembre_2013">#REF!</definedName>
    <definedName name="Ejecucionpresupuestariajulio">#REF!</definedName>
    <definedName name="enero">#REF!</definedName>
    <definedName name="ENERO.P01.22">#REF!</definedName>
    <definedName name="enero2012">#REF!</definedName>
    <definedName name="ENERO2022">#REF!</definedName>
    <definedName name="enero2023">#REF!</definedName>
    <definedName name="eneroprog022012">#REF!</definedName>
    <definedName name="eneroprog022013">#REF!</definedName>
    <definedName name="eneroprog032012">#REF!</definedName>
    <definedName name="eneroprog032013">#REF!</definedName>
    <definedName name="febrero">#REF!</definedName>
    <definedName name="febrero2012">#REF!</definedName>
    <definedName name="febreroprog022012">#REF!</definedName>
    <definedName name="febreroprog022013">#REF!</definedName>
    <definedName name="febreroprog032012">#REF!</definedName>
    <definedName name="febreroprog032013">#REF!</definedName>
    <definedName name="febrro2012" localSheetId="6">#REF!</definedName>
    <definedName name="febrro2012">#REF!</definedName>
    <definedName name="indicep01">'Prog 01'!$G:$G</definedName>
    <definedName name="JULIO">#REF!</definedName>
    <definedName name="julio_2012">#REF!</definedName>
    <definedName name="JULIO2012">#REF!</definedName>
    <definedName name="JUNIO">#REF!</definedName>
    <definedName name="junio2012">#REF!</definedName>
    <definedName name="marzo">#REF!</definedName>
    <definedName name="marzo2012">#REF!</definedName>
    <definedName name="marzoprog022012">#REF!</definedName>
    <definedName name="marzoprog022013">#REF!</definedName>
    <definedName name="marzoprog032012">#REF!</definedName>
    <definedName name="marzoprog032013">#REF!</definedName>
    <definedName name="matriz01" localSheetId="6">'Prog 05'!$F$34:$R$69</definedName>
    <definedName name="matriz01">'Prog 01'!$G$13:$S$207</definedName>
    <definedName name="matriz01.v2">'Prog 01'!$C$9:$P$208</definedName>
    <definedName name="matriz02">'Prog 02'!$F$21:$R$63</definedName>
    <definedName name="matriz03">'Prog 03'!$F$28:$R$61</definedName>
    <definedName name="matriz2">'Prog 02'!$F$21:$K$21</definedName>
    <definedName name="matrizP50">#REF!</definedName>
    <definedName name="mayo">#REF!</definedName>
    <definedName name="MAYO2012">#REF!</definedName>
    <definedName name="noviembre_20_12">#REF!</definedName>
    <definedName name="NOVIEMBRE_2012">#REF!</definedName>
    <definedName name="NULO">#REF!</definedName>
    <definedName name="OCTUBRE_2012">#REF!</definedName>
    <definedName name="P_01_EJECUCIÓN_PRESUPUESTARIA_AL_31_DE_AGOSTO_2016">#REF!</definedName>
    <definedName name="P01_EJECUCION_ACUMULADA_AL_28_DE_FEBRERO_2015">#REF!</definedName>
    <definedName name="P01_EJECUCIÓN_ACUMULADA_AL_31_DE_MAYO_2016">#REF!</definedName>
    <definedName name="P01_EJECUCION_ACUMULADA_AÑO_2013">#REF!</definedName>
    <definedName name="P01_EJECUCION_DICIEMBRE_2013">#REF!</definedName>
    <definedName name="P01_EJECUCIÓN_NOVIEMBRE_2013">#REF!</definedName>
    <definedName name="P01_EJECUCION_OCTUBRE_2013">#REF!</definedName>
    <definedName name="P01_EJECUCIÓN_PRESUPIUESTARIA_ACUMULADA_AL_30_DE_ABRIL_DEL_2015">#REF!</definedName>
    <definedName name="P01_EJECUCIÓN_PRESUPUESTARIA__ACUMULADA_AL_17_DE_DICIEMBRE_DEL_2015">#REF!</definedName>
    <definedName name="P01_EJECUCIÓN_PRESUPUESTARIA__ACUMULADA_AL_31_DE_DICIEMBRE_DEL_2015">#REF!</definedName>
    <definedName name="P01_EJECUCIÓN_PRESUPUESTARIA_ACUMULADA_AL_13_DE_MARZO_2018">#REF!</definedName>
    <definedName name="P01_EJECUCION_PRESUPUESTARIA_ACUMULADA_AL_15_DE_JUNIO_DEL_2015">#REF!</definedName>
    <definedName name="P01_EJECUCIÓN_PRESUPUESTARIA_ACUMULADA_AL_15_DE_JUNIO_DEL_2015">#REF!</definedName>
    <definedName name="P01_EJECUCIÓN_PRESUPUESTARIA_ACUMULADA_AL_15_DE_MAYO_DEL_2015">#REF!</definedName>
    <definedName name="P01_EJECUCIÓN_PRESUPUESTARIA_ACUMULADA_AL_16_DE_MAYO_2015">#REF!</definedName>
    <definedName name="P01_EJECUCIÓN_PRESUPUESTARIA_ACUMULADA_AL_26_DE_AGOSTO_DEL_2015">#REF!</definedName>
    <definedName name="P01_EJECUCIÓN_PRESUPUESTARIA_ACUMULADA_AL_30_DE_JUNIO_2018">#REF!</definedName>
    <definedName name="P01_EJECUCIÓN_PRESUPUESTARIA_ACUMULADA_AL_30_DE_JUNIO_DEL_2015">#REF!</definedName>
    <definedName name="P01_EJECUCIÓN_PRESUPUESTARIA_ACUMULADA_AL_30_DE_NOVIEMBRE_DEL_2015">#REF!</definedName>
    <definedName name="P01_EJECUCIÓN_PRESUPUESTARIA_ACUMULADA_AL_30_DE_SEPTIEMBRE_DEL_2015">#REF!</definedName>
    <definedName name="P01_EJECUCIÓN_PRESUPUESTARIA_ACUMULADA_AL_31_DE_AGOSTO_DEL_2015">#REF!</definedName>
    <definedName name="P01_EJECUCIÓN_PRESUPUESTARIA_ACUMULADA_AL_31_DE_JULIO_2018">#REF!</definedName>
    <definedName name="P01_EJECUCIÓN_PRESUPUESTARIA_ACUMULADA_AL_31_DE_JULIO_DEL_2015">#REF!</definedName>
    <definedName name="P01_EJECUCIÓN_PRESUPUESTARIA_ACUMULADA_AL_31_DE_MAYO_2018">#REF!</definedName>
    <definedName name="P01_EJECUCIÓN_PRESUPUESTARIA_ACUMULADA_AL_31_DE_MAYO_DEL_2015">#REF!</definedName>
    <definedName name="P01_EJECUCIÓN_PRESUPUESTARIA_ACUMULADA_AL_31_DE_OCTUBRE_DEL_2015">#REF!</definedName>
    <definedName name="P01_EJECUCIÓN_PRESUPUESTARIA_AL_15_DE_JUNIO_DEL_2015">#REF!</definedName>
    <definedName name="P01_EJECUCIÓN_PRESUPUESTARIA_AL_17_DE_DICIEMBRE_DEL_2015">#REF!</definedName>
    <definedName name="P01_EJECUCIÓN_PRESUPUESTARIA_AL_19_DE_MAYO_2015">#REF!</definedName>
    <definedName name="P01_EJECUCIÓN_PRESUPUESTARIA_AL_21_DE_SEPTIEMBRE_DEL_2015">#REF!</definedName>
    <definedName name="P01_EJECUCIÓN_PRESUPUESTARIA_AL_26_DE_AGOSTO_DEL_2015">#REF!</definedName>
    <definedName name="P01_EJECUCION_PRESUPUESTARIA_AL_26_DE_MARZO_DEL_2015">#REF!</definedName>
    <definedName name="P01_EJECUCIÓN_PRESUPUESTARIA_AL_28_DE_FEBRERO_2015">#REF!</definedName>
    <definedName name="P01_EJECUCIÓN_PRESUPUESTARIA_AL_30_DE_ABRIL_DEL_2015">#REF!</definedName>
    <definedName name="P01_EJECUCIÓN_PRESUPUESTARIA_AL_30_DE_JUNIO_2018">#REF!</definedName>
    <definedName name="P01_EJECUCIÓN_PRESUPUESTARIA_AL_30_DE_JUNIO_DEL_2015">#REF!</definedName>
    <definedName name="P01_EJECUCIÓN_PRESUPUESTARIA_AL_30_DE_NOVIEMBRE_DEL_2015">#REF!</definedName>
    <definedName name="P01_EJECUCIÓN_PRESUPUESTARIA_AL_30_DE_SEPTIEMBRE_2015">#REF!</definedName>
    <definedName name="P01_EJECUCIÓN_PRESUPUESTARIA_AL_30_DE_SEPTIEMBRE_DEL_2015">#REF!</definedName>
    <definedName name="P01_EJECUCION_PRESUPUESTARIA_AL_31_DE_AGOSTO_2016">#REF!</definedName>
    <definedName name="P01_EJECUCIÓN_PRESUPUESTARIA_AL_31_DE_AGOSTO_2016">#REF!</definedName>
    <definedName name="P01_EJECUCIÓN_PRESUPUESTARIA_AL_31_DE_AGOSTO_2016_">#REF!</definedName>
    <definedName name="P01_EJECUCIÓN_PRESUPUESTARIA_AL_31_DE_AGOSTO_DEL_2015">#REF!</definedName>
    <definedName name="P01_EJECUCIÓN_PRESUPUESTARIA_AL_31_DE_AGOSTO_DEL_2016">#REF!</definedName>
    <definedName name="P01_EJECUCIÓN_PRESUPUESTARIA_AL_31_DE_DICIEMBRE_DEL_2015">#REF!</definedName>
    <definedName name="P01_EJECUCIÓN_PRESUPUESTARIA_AL_31_DE_ENERO_2015">#REF!</definedName>
    <definedName name="P01_EJECUCIÓN_PRESUPUESTARIA_AL_31_DE_JULIO_DEL_2015">#REF!</definedName>
    <definedName name="P01_EJECUCIÓN_PRESUPUESTARIA_AL_31_DE_MARZO_2017">#REF!</definedName>
    <definedName name="P01_EJECUCIÓN_PRESUPUESTARIA_AL_31_DE_MAYO_2016">#REF!</definedName>
    <definedName name="P01_EJECUCIÓN_PRESUPUESTARIA_AL_31_DE_MAYO_2017">#REF!</definedName>
    <definedName name="P01_EJECUCIÓN_PRESUPUESTARIA_AL_31_DE_MAYO_2018">#REF!</definedName>
    <definedName name="P01_EJECUCIÓN_PRESUPUESTARIA_AL_31_DE_MAYO_DEL_2015">#REF!</definedName>
    <definedName name="P01_EJECUCIÓN_PRESUPUESTARIA_AL_31_DE_NOVIEMBRE_DEL_2015">#REF!</definedName>
    <definedName name="P01_EJECUCIÓN_PRESUPUESTARIA_AL_31_DE_OCTUBRE_DEL_2015">#REF!</definedName>
    <definedName name="P01_EJECUCIÓN_PRESUPUESTARIA_ENERO_2015">#REF!</definedName>
    <definedName name="P02_EJECUCIÓN_25_09_2013">#REF!</definedName>
    <definedName name="P02_EJECUCION_ACUMULADA_AL_21_DE_MARZO_2014">#REF!</definedName>
    <definedName name="P02_EJECUCION_ACUMULADA_AL_25_09_2013">#REF!</definedName>
    <definedName name="P02_EJECUCION_ACUMULADA_AL_31_DE_AGOSTO_DEL_2013">#REF!</definedName>
    <definedName name="P02_Ejecucion_Acumulada_al_31_Octubre_2013">#REF!</definedName>
    <definedName name="P02_EJECUCION_ACUMULADA_ANUAL_AÑO_2013">#REF!</definedName>
    <definedName name="P02_EJECUCION_DICIEMBRE_2013">#REF!</definedName>
    <definedName name="P02_EJECUCION_OCTUBRE_2013">#REF!</definedName>
    <definedName name="P02_EJECUCIÓN_PRESUPUESTARIA_ACUMULADA_AL_28_DE_FEBRERO_2015">#REF!</definedName>
    <definedName name="P02_EJECUCIÓN_PRESUPUESTARIA_ACUMULADA_AL_30_DE_ABRIL_2015">#REF!</definedName>
    <definedName name="P02_EJECUCIÓN_PRESUPUESTARIA_ACUMULADA_AL_30_DE_ABRIL_DEL_2015">#REF!</definedName>
    <definedName name="P02_EJECUCIÓN_PRESUPUESTARIA_ACUMULADA_AL_30_DE_JUNIO_DEL_2015">#REF!</definedName>
    <definedName name="P02_EJECUCIÓN_PRESUPUESTARIA_ACUMULADA_AL_31_DE_JULIO_DEL_2015">#REF!</definedName>
    <definedName name="P02_EJECUCIÓN_PRESUPUESTARIA_ACUMULADA_AL_31_DE_OCTUBRE_2015">#REF!</definedName>
    <definedName name="P02_EJECUCION_PRESUPUESTARIA_AL_21_DE_MARZO_2014">#REF!</definedName>
    <definedName name="P02_EJECUCIÓN_PRESUPUESTARIA_AL_28_DE_FEBRERO_2015">#REF!</definedName>
    <definedName name="P02_EJECUCIÓN_PRESUPUESTARIA_AL_30_DE_ABRIL_2015">#REF!</definedName>
    <definedName name="P02_EJECUCION_PRESUPUESTARIA_AL_31_DE_ENERO_2015">#REF!</definedName>
    <definedName name="P02_EJECUCIÓN_PRESUPUESTARIA_AL_31_DE_JULIO_DEL_2015">#REF!</definedName>
    <definedName name="P02_EJECUCIÓN_PRESUPUESTARIA_AL_31_DE_OCTUBRE_2015">#REF!</definedName>
    <definedName name="p03_2012">#REF!</definedName>
    <definedName name="P03_EJECUCION_ACUMULADA_AL_21_DE_MARZO_2014">#REF!</definedName>
    <definedName name="P03_EJECUCIÓN_ACUMULADA_AL_28_DE_FEBRERO_2015">#REF!</definedName>
    <definedName name="P03_EJECUCION_ACUMULADA_AL_30_SEPTIEMBRE_2013">#REF!</definedName>
    <definedName name="P03_EJECUCION_ACUMULADA_AL_31_OCTUBRE_2013">#REF!</definedName>
    <definedName name="P03_EJECUCION_ACUMULADA_ANUL_AÑO_2013">#REF!</definedName>
    <definedName name="P03_EJECUCION_DICIEMBRE_2013">#REF!</definedName>
    <definedName name="P03_EJECUCIÓN_PRESUPUESTARIA_ACUMULADA_AL_30_DE_ABRIL_DEL_2015">#REF!</definedName>
    <definedName name="P03_EJECUCIÓN_PRESUPUESTARIA_ACUMULADA_AL_31_DE_AGOSTO_DEL_2015">#REF!</definedName>
    <definedName name="P03_EJECUCIÓN_PRESUPUESTARIA_ACUMULADA_AL_31_DE_JULIO_DEL_2015">#REF!</definedName>
    <definedName name="P03_EJECUCIÓN_PRESUPUESTARIA_ACUMULADA_AL_31_DE_MAYO_DEL_2015">#REF!</definedName>
    <definedName name="P03_EJECUCION_PRESUPUESTARIA_AL_21_DE_MARZO_2014">#REF!</definedName>
    <definedName name="P03_EJECUCIÓN_PRESUPUESTARIA_AL_28_DE_FEBRERO_2015">#REF!</definedName>
    <definedName name="P03_EJECUCIÓN_PRESUPUESTARIA_AL_30_DE_ABRIL_DEL_2015">#REF!</definedName>
    <definedName name="P03_EJECUCIÓN_PRESUPUESTARIA_AL_31_DE_AGOSTO_DEL_2015">#REF!</definedName>
    <definedName name="P03_EJECUCIÓN_PRESUPUESTARIA_AL_31_DE_ENERO_2015">#REF!</definedName>
    <definedName name="P03_EJECUCIÓN_PRESUPUESTARIA_AL_31_DE_JULIO_DEL_2015">#REF!</definedName>
    <definedName name="P03_EJECUCIÓN_PRESUPUESTARIA_AL_31_DE_MAYO_DEL_2015">#REF!</definedName>
    <definedName name="P03_SEPTIEMBRE_2012">#REF!</definedName>
    <definedName name="P03_SITUACIÓN_PRESUPUESTARIA_ACUMULADA_AL_30_DE_JUNIO_DEL_2015">#REF!</definedName>
    <definedName name="P03_SITUACIÓN_PRESUPUESTARIA_ACUMULADA_AL_30_DE_NOVIEMBRE_DEL_2015">#REF!</definedName>
    <definedName name="P03_SITUACIÓN_PRESUPUESTARIA_ACUMULADA_AL_31_DE_OCTUBRE_DEL_2015">#REF!</definedName>
    <definedName name="P03_SITUACIÓN_PRESUPUESTARIA_AL_30_DE_JUNIO_DEL_2015">#REF!</definedName>
    <definedName name="P03_SITUACIÓN_PRESUPUESTARIA_AL_30_DE_NOBIEMBRE_DE_2015">#REF!</definedName>
    <definedName name="P03_SITUACIÓN_PRESUPUESTARIA_AL_31_DE_OCTUBRE_DE_2015">#REF!</definedName>
    <definedName name="P05_EJECUCIÓN_PRESUPUESTARIA_ACUMULADA_AL_28_DE_FEBRERO_2015">#REF!</definedName>
    <definedName name="P05_EJECUCIÓN_PRESUPUESTARIA_ACUMULADA_AL_30_DE_ABRIL_DEL_2015">#REF!</definedName>
    <definedName name="P05_EJECUCIÓN_PRESUPUESTARIA_ACUMULADA_AL_30_DE_JUNIO_DEL_2015">#REF!</definedName>
    <definedName name="P05_EJECUCIÓN_PRESUPUESTARIA_ACUMULADA_AL_30_DE_SEPTIEMBRE_DEL_2015">#REF!</definedName>
    <definedName name="P05_EJECUCIÓN_PRESUPUESTARIA_ACUMULADA_AL_31_DE_AGOSTO_DEL_2015">#REF!</definedName>
    <definedName name="P05_EJECUCIÓN_PRESUPUESTARIA_ACUMULADA_AL_31_DE_DICIEMBRE_DE_2017">#REF!</definedName>
    <definedName name="P05_EJECUCIÓN_PRESUPUESTARIA_ACUMULADA_AL_31_DE_JULIO_DEL_2015">#REF!</definedName>
    <definedName name="P05_EJECUCIÓN_PRESUPUESTARIA_ACUMULADA_AL_31_DE_MAYO_DEL_2015">#REF!</definedName>
    <definedName name="P05_EJECUCIÓN_PRESUPUESTARIA_AL_28_DE_FEBRERO_2015">#REF!</definedName>
    <definedName name="P05_EJECUCIÓN_PRESUPUESTARIA_AL_30_DE_ABRIL_DEL_2015">#REF!</definedName>
    <definedName name="P05_EJECUCIÓN_PRESUPUESTARIA_AL_30_DE_JUNIO_DEL_2015">#REF!</definedName>
    <definedName name="P05_EJECUCIÓN_PRESUPUESTARIA_AL_30_DE_NOVIEMBRE_DEL_2015">#REF!</definedName>
    <definedName name="P05_EJECUCIÓN_PRESUPUESTARIA_AL_30_DE_SEPTIEMBRE_DEL_2015">#REF!</definedName>
    <definedName name="P05_EJECUCIÓN_PRESUPUESTARIA_AL_31_DE_AGOSTO_DEL_2015">#REF!</definedName>
    <definedName name="P05_EJECUCION_PRESUPUESTARIA_AL_31_DE_ENERO_2015">#REF!</definedName>
    <definedName name="P05_EJECUCIÓN_PRESUPUESTARIA_AL_31_DE_MAYO_DEL_2015">#REF!</definedName>
    <definedName name="P06_EJECUCIÓN_PRESUPUESTARIA_ACUMULADA_AL_30_DE_ABRIL_DEL_2015">#REF!</definedName>
    <definedName name="P06_EJECUCIÓN_PRESUPUESTARIA_ACUMULADA_AL_30_DE_JUNIO_DEL_2015">#REF!</definedName>
    <definedName name="P06_EJECUCIÓN_PRESUPUESTARIA_ACUMULADA_AL_30_DE_NOVIEMBRE_DEL_2015">#REF!</definedName>
    <definedName name="P06_EJECUCIÓN_PRESUPUESTARIA_ACUMULADA_AL_31_DE_AGOSTO_DEL_2015">#REF!</definedName>
    <definedName name="P06_EJECUCIÓN_PRESUPUESTARIA_ACUMULADA_AL_31_DE_JULIO_DEL_2015">#REF!</definedName>
    <definedName name="P06_EJECUCIÓN_PRESUPUESTARIA_ACUMULADA_AL_31_DE_MAYO_DEL_2015">#REF!</definedName>
    <definedName name="P06_EJECUCIÓN_PRESUPUESTARIA_AL_30_DE_JUNIO_DEL_2015">#REF!</definedName>
    <definedName name="P06_EJECUCIÓN_PRESUPUESTARIA_AL_31_DE_AGOSTO_DEL_2015">#REF!</definedName>
    <definedName name="P06_EJECUCIÓN_PRESUPUESTARIA_AL_31_DE_ENERO_2015">#REF!</definedName>
    <definedName name="pptovigenteamarzo">#REF!</definedName>
    <definedName name="pptovigentemayo">#REF!</definedName>
    <definedName name="PresupuestovigenteJulio">#REF!</definedName>
    <definedName name="presupuestovigentejunio">#REF!</definedName>
    <definedName name="PROG_01_EJECUCIÓN_ACUMULADA_AL_13_DE_MARZO_2014.">#REF!</definedName>
    <definedName name="PROG_01_EJECUCIÓN_ACUMULADA_AL_21_DE_MARZO_2014.">#REF!</definedName>
    <definedName name="PROG_01_EJECUCIÓN_ACUMULADA_AL_28_DE_FEBRERO_2017">#REF!</definedName>
    <definedName name="PROG_01_EJECUCIÓN_ACUMULADA_AL_29_DE_FEBRERO_2016">#REF!</definedName>
    <definedName name="PROG_01_EJECUCIÓN_ACUMULADA_AL_30_DE_ABRIL_2016">#REF!</definedName>
    <definedName name="PROG_01_EJECUCIÓN_ACUMULADA_AL_30_DE_JUNIO_2016">#REF!</definedName>
    <definedName name="PROG_01_EJECUCIÓN_ACUMULADA_AL_30_DE_NOVIEMBRE_2016">#REF!</definedName>
    <definedName name="PROG_01_EJECUCIÓN_ACUMULADA_AL_30_DE_SEPTIEMBRE_2016">#REF!</definedName>
    <definedName name="PROG_01_EJECUCIÓN_ACUMULADA_AL_31_DE_AGOSTO_2016">#REF!</definedName>
    <definedName name="PROG_01_EJECUCIÓN_ACUMULADA_AL_31_DE_DICIEMBRE_2016">#REF!</definedName>
    <definedName name="PROG_01_EJECUCIÓN_ACUMULADA_AL_31_DE_ENERO_2016">#REF!</definedName>
    <definedName name="PROG_01_EJECUCIÓN_ACUMULADA_AL_31_DE_ENERO_2017">#REF!</definedName>
    <definedName name="PROG_01_EJECUCIÓN_ACUMULADA_AL_31_DE_JULIO_2016">#REF!</definedName>
    <definedName name="PROG_01_EJECUCION_ACUMULADA_AL_31_DE_MARZO_2013">#REF!</definedName>
    <definedName name="PROG_01_EJECUCIÓN_ACUMULADA_AL_31_DE_MARZO_2016">#REF!</definedName>
    <definedName name="PROG_01_EJECUCIÓN_ACUMULADA_AL_31_DE_MARZO_2017">#REF!</definedName>
    <definedName name="PROG_01_EJECUCIÓN_ACUMULADA_AL_31_DE_MARZO_DEL_2014">#REF!</definedName>
    <definedName name="PROG_01_EJECUCION_ACUMULADA_AL_31_DE_MAYO_2014">#REF!</definedName>
    <definedName name="PROG_01_EJECUCIÓN_ACUMULADA_AL_31_DE_MAYO_2016">#REF!</definedName>
    <definedName name="PROG_01_EJECUCIÓN_ACUMULADA_AL_31_DE_OCTUBRE_2016">#REF!</definedName>
    <definedName name="PROG_01_EJECUCION_PRESUPUESTARIA_30_DE_ABRIL_2014">#REF!</definedName>
    <definedName name="PROG_01_EJECUCION_PRESUPUESTARIA_30_DE_JUNIO_2013">#REF!</definedName>
    <definedName name="PROG_01_EJECUCION_PRESUPUESTARIA_30_DE_JUNIO_2014">#REF!</definedName>
    <definedName name="PROG_01_EJECUCION_PRESUPUESTARIA_31_DE_JULIO_2013">#REF!</definedName>
    <definedName name="PROG_01_EJECUCION_PRESUPUESTARIA_31_DE_JULIO_2014">#REF!</definedName>
    <definedName name="PROG_01_EJECUCIÓN_PRESUPUESTARIA_31_DE_MARZO_2015">#REF!</definedName>
    <definedName name="PROG_01_EJECUCION_PRESUPUESTARIA_31_DE_MAYO_2014">#REF!</definedName>
    <definedName name="PROG_01_EJECUCIÓN_PRESUPUESTARIA_ACUMULADA_31_ENERO_2017">#REF!</definedName>
    <definedName name="PROG_01_EJECUCIÓN_PRESUPUESTARIA_ACUMULADA_AL_13_DE_MARZO_2017">#REF!</definedName>
    <definedName name="PROG_01_EJECUCIÓN_PRESUPUESTARIA_ACUMULADA_AL_13_DE_MARZO_2018">#REF!</definedName>
    <definedName name="PROG_01_EJECUCIÓN_PRESUPUESTARIA_ACUMULADA_AL_28_DE_febrero_2017">#REF!</definedName>
    <definedName name="PROG_01_EJECUCIÓN_PRESUPUESTARIA_ACUMULADA_AL_28_DE_FEBRERO_2018">#REF!</definedName>
    <definedName name="PROG_01_EJECUCION_PRESUPUESTARIA_ACUMULADA_AL_30_DE_ABRIL_2013">#REF!</definedName>
    <definedName name="PROG_01_EJECUCION_PRESUPUESTARIA_ACUMULADA_AL_30_DE_ABRIL_2014">#REF!</definedName>
    <definedName name="PROG_01_EJECUCIÓN_PRESUPUESTARIA_ACUMULADA_AL_30_DE_ABRIL_2017">#REF!</definedName>
    <definedName name="PROG_01_EJECUCIÓN_PRESUPUESTARIA_ACUMULADA_AL_30_DE_ABRIL_2018">#REF!</definedName>
    <definedName name="PROG_01_EJECUCION_PRESUPUESTARIA_ACUMULADA_AL_30_DE_JUNIO_2013">#REF!</definedName>
    <definedName name="PROG_01_EJECUCION_PRESUPUESTARIA_ACUMULADA_AL_30_DE_JUNIO_2014">#REF!</definedName>
    <definedName name="PROG_01_EJECUCIÓN_PRESUPUESTARIA_ACUMULADA_AL_30_DE_JUNIO_2017">#REF!</definedName>
    <definedName name="PROG_01_EJECUCION_PRESUPUESTARIA_ACUMULADA_AL_30_DE_NOVIEMBRE_2014">#REF!</definedName>
    <definedName name="PROG_01_EJECUCIÓN_PRESUPUESTARIA_ACUMULADA_AL_30_DE_NOVIEMBRE_2017">#REF!</definedName>
    <definedName name="PROG_01_EJECUCION_PRESUPUESTARIA_ACUMULADA_AL_30_DE_SEPTIEMBRE_2014">#REF!</definedName>
    <definedName name="PROG_01_EJECUCIÓN_PRESUPUESTARIA_ACUMULADA_AL_30_DE_SEPTIEMBRE_2017">#REF!</definedName>
    <definedName name="PROG_01_EJECUCION_PRESUPUESTARIA_ACUMULADA_AL_31_DE_AGOSTO_2014">#REF!</definedName>
    <definedName name="PROG_01_EJECUCIÓN_PRESUPUESTARIA_ACUMULADA_AL_31_DE_AGOSTO_2017">#REF!</definedName>
    <definedName name="PROG_01_EJECUCIÓN_PRESUPUESTARIA_ACUMULADA_AL_31_DE_AGOSTO_DEL_2015">#REF!</definedName>
    <definedName name="PROG_01_EJECUCION_PRESUPUESTARIA_ACUMULADA_AL_31_DE_DICIEMBRE_2014">#REF!</definedName>
    <definedName name="PROG_01_EJECUCIÓN_PRESUPUESTARIA_ACUMULADA_AL_31_DE_DICIEMBRE_2017">#REF!</definedName>
    <definedName name="PROG_01_EJECUCIÓN_PRESUPUESTARIA_ACUMULADA_AL_31_DE_Enero_2018">#REF!</definedName>
    <definedName name="PROG_01_EJECUCION_PRESUPUESTARIA_ACUMULADA_AL_31_DE_JULIO_2013">#REF!</definedName>
    <definedName name="PROG_01_EJECUCION_PRESUPUESTARIA_ACUMULADA_AL_31_DE_JULIO_2014">#REF!</definedName>
    <definedName name="PROG_01_EJECUCIÓN_PRESUPUESTARIA_ACUMULADA_AL_31_DE_JULIO_2017">#REF!</definedName>
    <definedName name="PROG_01_EJECUCIÓN_PRESUPUESTARIA_ACUMULADA_AL_31_DE_MARZO_2017">#REF!</definedName>
    <definedName name="PROG_01_EJECUCIÓN_PRESUPUESTARIA_ACUMULADA_AL_31_DE_MARZO_2018">#REF!</definedName>
    <definedName name="PROG_01_EJECUCIÓN_PRESUPUESTARIA_ACUMULADA_AL_31_DE_MARZO_DEL_2015">#REF!</definedName>
    <definedName name="PROG_01_EJECUCION_PRESUPUESTARIA_ACUMULADA_AL_31_DE_MAYO_2013">#REF!</definedName>
    <definedName name="PROG_01_EJECUCION_PRESUPUESTARIA_ACUMULADA_AL_31_DE_MAYO_2014">#REF!</definedName>
    <definedName name="PROG_01_EJECUCIÓN_PRESUPUESTARIA_ACUMULADA_AL_31_DE_MAYO_2016">#REF!</definedName>
    <definedName name="PROG_01_EJECUCIÓN_PRESUPUESTARIA_ACUMULADA_AL_31_DE_MAYO_2017">#REF!</definedName>
    <definedName name="PROG_01_EJECUCIÓN_PRESUPUESTARIA_ACUMULADA_AL_31_DE_MAYO_2018">#REF!</definedName>
    <definedName name="PROG_01_EJECUCION_PRESUPUESTARIA_ACUMULADA_AL_31_DE_OCTUBRE_2014">#REF!</definedName>
    <definedName name="PROG_01_EJECUCIÓN_PRESUPUESTARIA_ACUMULADA_AL_31_DE_OCTUBRE_2017">#REF!</definedName>
    <definedName name="PROG_01_EJECUCIÓN_PRESUPUESTARIA_AL_13_DE_MARZO_2014.">#REF!</definedName>
    <definedName name="PROG_01_EJECUCIÓN_PRESUPUESTARIA_AL_13_DE_MARZO_2017">#REF!</definedName>
    <definedName name="PROG_01_EJECUCIÓN_PRESUPUESTARIA_AL_13_DE_MARZO_2018">#REF!</definedName>
    <definedName name="PROG_01_EJECUCIÓN_PRESUPUESTARIA_AL_13_DEMARZO__2017">#REF!</definedName>
    <definedName name="PROG_01_EJECUCIÓN_PRESUPUESTARIA_AL_21_DE_MARZO_2014.">#REF!</definedName>
    <definedName name="PROG_01_EJECUCION_PRESUPUESTARIA_AL_22_DE_ABRIL_2014">#REF!</definedName>
    <definedName name="PROG_01_EJECUCIÓN_PRESUPUESTARIA_AL_28_DE_FEBRERO_2014.">#REF!</definedName>
    <definedName name="PROG_01_EJECUCIÓN_PRESUPUESTARIA_AL_28_DE_FEBRERO_2017">#REF!</definedName>
    <definedName name="PROG_01_EJECUCIÓN_PRESUPUESTARIA_AL_28_DE_FEBRERO_2018">#REF!</definedName>
    <definedName name="PROG_01_EJECUCION_PRESUPUESTARIA_AL_28_DE_FEBRERO_DEL_2013">#REF!</definedName>
    <definedName name="PROG_01_EJECUCIÓN_PRESUPUESTARIA_AL_28_FEBRERO_2017">#REF!</definedName>
    <definedName name="PROG_01_EJECUCIÓN_PRESUPUESTARIA_AL_29_DE_FEBRERO_2016">#REF!</definedName>
    <definedName name="PROG_01_EJECUCIÓN_PRESUPUESTARIA_AL_30_DE_ABRIL_2016">#REF!</definedName>
    <definedName name="PROG_01_EJECUCIÓN_PRESUPUESTARIA_AL_30_DE_ABRIL_2017">#REF!</definedName>
    <definedName name="PROG_01_EJECUCIÓN_PRESUPUESTARIA_AL_30_DE_ABRIL_2018">#REF!</definedName>
    <definedName name="PROG_01_EJECUCION_PRESUPUESTARIA_AL_30_DE_ABRIL_DEL_2013">#REF!</definedName>
    <definedName name="PROG_01_EJECUCION_PRESUPUESTARIA_AL_30_DE_ABRIL_DEL_2013_V2">#REF!</definedName>
    <definedName name="PROG_01_EJECUCIÓN_PRESUPUESTARIA_AL_30_DE_JUNIO_2016">#REF!</definedName>
    <definedName name="PROG_01_EJECUCIÓN_PRESUPUESTARIA_AL_30_DE_JUNIO_2017">#REF!</definedName>
    <definedName name="PROG_01_EJECUCIÓN_PRESUPUESTARIA_AL_30_DE_JUNIO_2018">#REF!</definedName>
    <definedName name="PROG_01_EJECUCION_PRESUPUESTARIA_AL_30_DE_NOVIEMBRE_2014">#REF!</definedName>
    <definedName name="PROG_01_EJECUCIÓN_PRESUPUESTARIA_AL_30_DE_NOVIEMBRE_2016">#REF!</definedName>
    <definedName name="PROG_01_EJECUCIÓN_PRESUPUESTARIA_AL_30_DE_NOVIEMBRE_2017">#REF!</definedName>
    <definedName name="PROG_01_EJECUCION_PRESUPUESTARIA_AL_30_DE_SEPTIEMBRE_2014">#REF!</definedName>
    <definedName name="PROG_01_EJECUCIÓN_PRESUPUESTARIA_AL_30_DE_SEPTIEMBRE_2016">#REF!</definedName>
    <definedName name="PROG_01_EJECUCIÓN_PRESUPUESTARIA_AL_30_DE_SEPTIEMBRE_2017">#REF!</definedName>
    <definedName name="PROG_01_EJECUCIÓN_PRESUPUESTARIA_AL_30_DE_SEPTIEMBRE_DEL_2015">#REF!</definedName>
    <definedName name="PROG_01_EJECUCION_PRESUPUESTARIA_AL_31_DE_AGOSTO_2014">#REF!</definedName>
    <definedName name="PROG_01_EJECUCIÓN_PRESUPUESTARIA_AL_31_DE_AGOSTO_2016">#REF!</definedName>
    <definedName name="PROG_01_EJECUCIÓN_PRESUPUESTARIA_AL_31_DE_AGOSTO_2017">#REF!</definedName>
    <definedName name="PROG_01_EJECUCION_PRESUPUESTARIA_AL_31_DE_DICIEMBRE_2014">#REF!</definedName>
    <definedName name="PROG_01_EJECUCIÓN_PRESUPUESTARIA_AL_31_DE_DICIEMBRE_2016">#REF!</definedName>
    <definedName name="PROG_01_EJECUCIÓN_PRESUPUESTARIA_AL_31_DE_DICIEMBRE_2017">#REF!</definedName>
    <definedName name="PROG_01_EJECUCIÓN_PRESUPUESTARIA_AL_31_DE_ENERO_2014.">#REF!</definedName>
    <definedName name="PROG_01_EJECUCION_PRESUPUESTARIA_AL_31_DE_ENERO_DEL_2013">#REF!</definedName>
    <definedName name="PROG_01_EJECUCIÓN_PRESUPUESTARIA_AL_31_DE_JULIO_2016">#REF!</definedName>
    <definedName name="PROG_01_EJECUCIÓN_PRESUPUESTARIA_AL_31_DE_JULIO_2017">#REF!</definedName>
    <definedName name="PROG_01_EJECUCIÓN_PRESUPUESTARIA_AL_31_DE_JULIO_DEL_2015">#REF!</definedName>
    <definedName name="PROG_01_EJECUCION_PRESUPUESTARIA_AL_31_DE_MARZO_2014">#REF!</definedName>
    <definedName name="PROG_01_EJECUCIÓN_PRESUPUESTARIA_AL_31_DE_MARZO_2016">#REF!</definedName>
    <definedName name="PROG_01_EJECUCIÓN_PRESUPUESTARIA_AL_31_DE_MARZO_2017">#REF!</definedName>
    <definedName name="PROG_01_EJECUCIÓN_PRESUPUESTARIA_AL_31_DE_MARZO_2018">#REF!</definedName>
    <definedName name="PROG_01_EJECUCION_PRESUPUESTARIA_AL_31_DE_MARZO_DEL_2013">#REF!</definedName>
    <definedName name="PROG_01_EJECUCIÓN_PRESUPUESTARIA_AL_31_DE_MAYO_2016">#REF!</definedName>
    <definedName name="PROG_01_EJECUCIÓN_PRESUPUESTARIA_AL_31_DE_MAYO_2017">#REF!</definedName>
    <definedName name="PROG_01_EJECUCIÓN_PRESUPUESTARIA_AL_31_DE_MAYO_2018">#REF!</definedName>
    <definedName name="PROG_01_EJECUCION_PRESUPUESTARIA_AL_31_DE_MAYO_DEL_2013">#REF!</definedName>
    <definedName name="PROG_01_EJECUCION_PRESUPUESTARIA_AL_31_DE_OCTUBRE_2014">#REF!</definedName>
    <definedName name="PROG_01_EJECUCIÓN_PRESUPUESTARIA_AL_31_DE_OCTUBRE_2016">#REF!</definedName>
    <definedName name="PROG_01_EJECUCIÓN_PRESUPUESTARIA_AL_31_DE_OCTUBRE_2017">#REF!</definedName>
    <definedName name="PROG_01EJECUCIÓN_PRESUPUESTARIA_31_DE_MAYO_2016">#REF!</definedName>
    <definedName name="PROG_02_EJECUCION_ACUMULADA_AL_31_DE_MARZO_DEL_2013">#REF!</definedName>
    <definedName name="PROG_02_EJECUCIÓN_ACUMULADA_AL_31_DE_MARZO_DEL_2014">#REF!</definedName>
    <definedName name="PROG_02_EJECUCION_PRESUPUESTARIA_30_DE_JUNIO_2013">#REF!</definedName>
    <definedName name="PROG_02_EJECUCION_PRESUPUESTARIA_31_DE_MAYO_DEL_2013">#REF!</definedName>
    <definedName name="PROG_02_EJECUCION_PRESUPUESTARIA_ACUMULADA_AL_30_DE_ABRIL_2014">#REF!</definedName>
    <definedName name="PROG_02_EJECUCION_PRESUPUESTARIA_ACUMULADA_AL_30_DE_JUNIO_2014">#REF!</definedName>
    <definedName name="PROG_02_EJECUCION_PRESUPUESTARIA_ACUMULADA_AL_30_DE_SEPTIEMBRE_2014">#REF!</definedName>
    <definedName name="PROG_02_EJECUCION_PRESUPUESTARIA_ACUMULADA_AL_31_DE_AGOSTO_2014">#REF!</definedName>
    <definedName name="PROG_02_EJECUCIÓN_PRESUPUESTARIA_ACUMULADA_AL_31_DE_DICIEMBRE_DEL_2014">#REF!</definedName>
    <definedName name="PROG_02_EJECUCION_PRESUPUESTARIA_ACUMULADA_AL_31_DE_JULIO_2014">#REF!</definedName>
    <definedName name="PROG_02_EJECUCION_PRESUPUESTARIA_ACUMULADA_AL_31_DE_MAYO_2014">#REF!</definedName>
    <definedName name="PROG_02_EJECUCION_PRESUPUESTARIA_ACUMULADA_AL_31_DE_MAYO_DEL_2013">#REF!</definedName>
    <definedName name="PROG_02_EJECUCION_PRESUPUESTARIA_AL_13_DE_MARZO_2014.">#REF!</definedName>
    <definedName name="PROG_02_EJECUCION_PRESUPUESTARIA_AL_28_DE_FEBRERO_2014.">#REF!</definedName>
    <definedName name="PROG_02_EJECUCION_PRESUPUESTARIA_AL_28_DE_FEBRERO_DEL_2013">#REF!</definedName>
    <definedName name="PROG_02_EJECUCION_PRESUPUESTARIA_AL_30_DE_ABRIL_2014">#REF!</definedName>
    <definedName name="PROG_02_EJECUCION_PRESUPUESTARIA_AL_30_DE_ABRIL_DEL_2013">#REF!</definedName>
    <definedName name="PROG_02_EJECUCION_PRESUPUESTARIA_AL_30_DE_JUNIO_2014">#REF!</definedName>
    <definedName name="PROG_02_EJECUCION_PRESUPUESTARIA_AL_30_DE_SEPTIEMBRE_2014">#REF!</definedName>
    <definedName name="PROG_02_EJECUCION_PRESUPUESTARIA_AL_31_DE_AGOSTO_2014">#REF!</definedName>
    <definedName name="PROG_02_EJECUCION_PRESUPUESTARIA_AL_31_DE_ENERO_2014.">#REF!</definedName>
    <definedName name="PROG_02_EJECUCION_PRESUPUESTARIA_AL_31_DE_ENERO_DEL_2013">#REF!</definedName>
    <definedName name="PROG_02_EJECUCION_PRESUPUESTARIA_AL_31_DE_JULIO_2014">#REF!</definedName>
    <definedName name="PROG_02_EJECUCION_PRESUPUESTARIA_AL_31_DE_MARZO_DEL_2013">#REF!</definedName>
    <definedName name="PROG_02_EJECUCION_PRESUPUESTARIA_AL_31_DE_MARZO_DEL_2014">#REF!</definedName>
    <definedName name="PROG_02_EJECUCION_PRESUPUESTARIA_AL_31_DE_MAYO_2014">#REF!</definedName>
    <definedName name="PROG_02_SITUACIÓN_PRESUPUESTARIA_ACUMULADA_AL_31_DE_MARZO_DE_2015">#REF!</definedName>
    <definedName name="PROG_03_EJECUCION_ACUMULADA_AL_31_DE_MARZO_DEL_2014">#REF!</definedName>
    <definedName name="PROG_03_EJECUCION_PRESIPUESTARIA_AL_28_DE_FEBRERO_DEL_2013">#REF!</definedName>
    <definedName name="PROG_03_EJECUCION_PRESIPUESTARIA_AL_31_DE_ENERO_DEL_2013">#REF!</definedName>
    <definedName name="PROG_03_EJECUCION_PRESUPUESTARIA_31_DE_MAYO_DEL_2013">#REF!</definedName>
    <definedName name="PROG_03_EJECUCIÓN_PRESUPUESTARIA_ACUMULADA_AL_29_DE_FEBRERO_2016">#REF!</definedName>
    <definedName name="PROG_03_EJECUCION_PRESUPUESTARIA_ACUMULADA_AL_30_DE_ABRIL_2014">#REF!</definedName>
    <definedName name="PROG_03_EJECUCIÓN_PRESUPUESTARIA_ACUMULADA_AL_30_DE_ABRIL_2016">#REF!</definedName>
    <definedName name="PROG_03_EJECUCION_PRESUPUESTARIA_ACUMULADA_AL_30_DE_JUNIO_2014">#REF!</definedName>
    <definedName name="PROG_03_EJECUCION_PRESUPUESTARIA_ACUMULADA_AL_30_DE_SEPTIEMBRE_2014">#REF!</definedName>
    <definedName name="PROG_03_EJECUCIÓN_PRESUPUESTARIA_ACUMULADA_AL_31_DE__JULIO_2016">#REF!</definedName>
    <definedName name="PROG_03_EJECUCIÓN_PRESUPUESTARIA_ACUMULADA_AL_31_DE_DICIEMBRE_DEL_2014">#REF!</definedName>
    <definedName name="PROG_03_EJECUCIÓN_PRESUPUESTARIA_ACUMULADA_AL_31_DE_ENERO_2016">#REF!</definedName>
    <definedName name="PROG_03_EJECUCION_PRESUPUESTARIA_ACUMULADA_AL_31_DE_JULIO_2014">#REF!</definedName>
    <definedName name="PROG_03_EJECUCION_PRESUPUESTARIA_ACUMULADA_AL_31_DE_MAYO_2014">#REF!</definedName>
    <definedName name="PROG_03_EJECUCION_PRESUPUESTARIA_ACUMULADA_AL_31_DE_OCTUBRE_2014">#REF!</definedName>
    <definedName name="PROG_03_EJECUCION_PRESUPUESTARIA_AL_28_DE_FEBRERO_2014.">#REF!</definedName>
    <definedName name="PROG_03_EJECUCIÓN_PRESUPUESTARIA_AL_29_DE_FEBRERO_2016">#REF!</definedName>
    <definedName name="PROG_03_EJECUCION_PRESUPUESTARIA_AL_30_DE_ABRIL_DEL_2013">#REF!</definedName>
    <definedName name="PROG_03_EJECUCION_PRESUPUESTARIA_AL_31_DE_ENERO_2014.">#REF!</definedName>
    <definedName name="PROG_03_EJECUCION_PRESUPUESTARIA_AL_31_DE_JULIO_2014">#REF!</definedName>
    <definedName name="PROG_03_EJECUCIÓN_PRESUPUESTARIA_AL_31_DE_JULIO_2016">#REF!</definedName>
    <definedName name="PROG_03_EJECUCION_PRESUPUESTARIA_AL_31_DE_MARZO_DEL_2013">#REF!</definedName>
    <definedName name="PROG_03_EJECUCION_PRESUPUESTARIA_AL_31_DE_MARZO_DEL_2014">#REF!</definedName>
    <definedName name="PROG_03_EJECUCIÓN_PRESUPUESTARIA_AL_31_DICIEMBRE_DEL_2014">#REF!</definedName>
    <definedName name="PROG_03_SITUACIÓN_PRESUPUESTARIA_ACUMULADA_AL_31_DE_MARZO_AL_2015">#REF!</definedName>
    <definedName name="PROG_03_SITUACION_PRESUPUESTARIA_AL_30_DE_ABRIL_2014">#REF!</definedName>
    <definedName name="PROG_03_SITUACION_PRESUPUESTARIA_AL_30_DE_JUNIO_2014">#REF!</definedName>
    <definedName name="PROG_03_SITUACION_PRESUPUESTARIA_AL_30_DE_SEPTIEMBRE_2014">#REF!</definedName>
    <definedName name="PROG_03_SITUACION_PRESUPUESTARIA_AL_31_DE_JULIO_2014">#REF!</definedName>
    <definedName name="PROG_03_SITUACIÓN_PRESUPUESTARIA_AL_31_DE_MARZO_DEL_2015">#REF!</definedName>
    <definedName name="PROG_03_SITUACION_PRESUPUESTARIA_AL_31_DE_MAYO_2014">#REF!</definedName>
    <definedName name="PROG_03_SITUACION_PRESUPUESTARIA_AL_31_DE_OCTUBRE_2014">#REF!</definedName>
    <definedName name="PROG_05_EJECUCIÓN_ACUMULADA_AL_28_DE_FEBRERO_DE_2018">#REF!</definedName>
    <definedName name="PROG_05_EJECUCIÓN_ACUMULADA_AL_29_DE_FEBRERO_DEL_2016">#REF!</definedName>
    <definedName name="PROG_05_EJECUCIÓN_ACUMULADA_AL_30_DE_JUNIO_DEL_2016">#REF!</definedName>
    <definedName name="PROG_05_EJECUCIÓN_ACUMULADA_AL_30_DE_NOVIEMBRE_DEL_2016">#REF!</definedName>
    <definedName name="PROG_05_EJECUCIÓN_ACUMULADA_AL_30_DE_SEPTIEMBRE_DEL_2016">#REF!</definedName>
    <definedName name="PROG_05_EJECUCIÓN_ACUMULADA_AL_31_DE_DICIEMBRE_DEL_2016">#REF!</definedName>
    <definedName name="PROG_05_EJECUCIÓN_ACUMULADA_AL_31_DE_ENERO_2016">#REF!</definedName>
    <definedName name="PROG_05_EJECUCIÓN_ACUMULADA_AL_31_DE_JULIO_DEL_2016">#REF!</definedName>
    <definedName name="PROG_05_EJECUCIÓN_ACUMULADA_AL_31_DE_MARZO_DEL_2014">#REF!</definedName>
    <definedName name="PROG_05_EJECUCIÓN_ACUMULADA_AL_31_DE_MARZO_DEL_2016">#REF!</definedName>
    <definedName name="PROG_05_EJECUCIÓN_ACUMULADA_AL_31_DE_MAYO_DEL_2016">#REF!</definedName>
    <definedName name="PROG_05_EJECUCIÓN_ACUMULADA_AL_31_DE_OCTUBRE_DEL_2016">#REF!</definedName>
    <definedName name="PROG_05_EJECUCIÓN_AL_30_DE_JUNIO_DEL_2016">#REF!</definedName>
    <definedName name="PROG_05_EJECUCIÓN_AL_30_DE_NOVIEMBRE_DEL_2016">#REF!</definedName>
    <definedName name="PROG_05_EJECUCIÓN_AL_30_DE_SEPTIEMBRE_DEL_2016">#REF!</definedName>
    <definedName name="PROG_05_EJECUCIÓN_AL_31_DE_AGOSTO_DEL_2016">#REF!</definedName>
    <definedName name="PROG_05_EJECUCIÓN_AL_31_DE_DICIEMBRE_DEL_2016">#REF!</definedName>
    <definedName name="PROG_05_EJECUCIÓN_AL_31_DE_JULIO_2016">#REF!</definedName>
    <definedName name="PROG_05_EJECUCIÓN_AL_31_DE_JULIO_DEL_2016">#REF!</definedName>
    <definedName name="PROG_05_EJECUCIÓN_AL_31_DE_MAYO_DEL_2016">#REF!</definedName>
    <definedName name="PROG_05_EJECUCIÓN_AL_31_DE_OCTUBRE_DEL_2016">#REF!</definedName>
    <definedName name="PROG_05_EJECUCIÓN_AL_31_DE_SEPTIEMBRE_DEL_2016">#REF!</definedName>
    <definedName name="PROG_05_EJECUCION_MES_DE_ENERO_2015">#REF!</definedName>
    <definedName name="PROG_05_EJECUCIÓN_PRESUPUESTARIA_30_DE_JUNIO_DE_2017">#REF!</definedName>
    <definedName name="PROG_05_EJECUCIÓN_PRESUPUESTARIA_31_DE_JULIO_DE_2017">#REF!</definedName>
    <definedName name="PROG_05_EJECUCIÓN_PRESUPUESTARIA_31_DE_MAYO_DE_2017">#REF!</definedName>
    <definedName name="PROG_05_EJECUCIÓN_PRESUPUESTARIA_ACUMULADA_AL_13_DE_MARZO_DE_2017">#REF!</definedName>
    <definedName name="PROG_05_EJECUCION_PRESUPUESTARIA_ACUMULADA_AL_30_DE_ABRIL_2014">#REF!</definedName>
    <definedName name="PROG_05_EJECUCION_PRESUPUESTARIA_ACUMULADA_AL_30_DE_JUNIO_2014">#REF!</definedName>
    <definedName name="PROG_05_EJECUCIÓN_PRESUPUESTARIA_ACUMULADA_AL_30_DE_JUNIO_DE_2017">#REF!</definedName>
    <definedName name="PROG_05_EJECUCIÓN_PRESUPUESTARIA_ACUMULADA_AL_30_DE_NOVIEMBRE_DE_2017">#REF!</definedName>
    <definedName name="PROG_05_EJECUCION_PRESUPUESTARIA_ACUMULADA_AL_30_DE_SEPTIEMBRE_2014">#REF!</definedName>
    <definedName name="PROG_05_EJECUCIÓN_PRESUPUESTARIA_ACUMULADA_AL_30_DE_SEPTIEMBRE_DE_2017">#REF!</definedName>
    <definedName name="PROG_05_EJECUCIÓN_PRESUPUESTARIA_ACUMULADA_AL_31_DE_AGOSTO_DE_2017">#REF!</definedName>
    <definedName name="PROG_05_EJECUCIÓN_PRESUPUESTARIA_ACUMULADA_AL_31_DE_DICIEMBRE_DEL_2015">#REF!</definedName>
    <definedName name="PROG_05_EJECUCION_PRESUPUESTARIA_ACUMULADA_AL_31_DE_JULIO_2014">#REF!</definedName>
    <definedName name="PROG_05_EJECUCIÓN_PRESUPUESTARIA_ACUMULADA_AL_31_DE_JULIO_DE_2017">#REF!</definedName>
    <definedName name="PROG_05_EJECUCIÓN_PRESUPUESTARIA_ACUMULADA_AL_31_DE_MARZO_DEL_2015">#REF!</definedName>
    <definedName name="PROG_05_EJECUCION_PRESUPUESTARIA_ACUMULADA_AL_31_DE_MAYO_2014">#REF!</definedName>
    <definedName name="PROG_05_EJECUCION_PRESUPUESTARIA_ACUMULADA_AL_31_DE_OCTUBRE_2014">#REF!</definedName>
    <definedName name="PROG_05_EJECUCIÓN_PRESUPUESTARIA_ACUMULADA_AL_31_DE_OCTUBRE_DE_2017">#REF!</definedName>
    <definedName name="PROG_05_EJECUCION_PRESUPUESTARIA_AL_28_DE_FEBHRERO_2014.">#REF!</definedName>
    <definedName name="PROG_05_EJECUCIÓN_PRESUPUESTARIA_AL_28_DE_FEBRERO_DE_2018" localSheetId="6">#REF!</definedName>
    <definedName name="PROG_05_EJECUCIÓN_PRESUPUESTARIA_AL_28_DE_FEBRERO_DE_2018">#REF!</definedName>
    <definedName name="PROG_05_EJECUCIÓN_PRESUPUESTARIA_AL_29_DE_FEBRERO_DEL_2016">#REF!</definedName>
    <definedName name="PROG_05_EJECUCION_PRESUPUESTARIA_AL_30_DE_ABRIL_2014">#REF!</definedName>
    <definedName name="PROG_05_EJECUCION_PRESUPUESTARIA_AL_30_DE_JUNIO_2014">#REF!</definedName>
    <definedName name="PROG_05_EJECUCIÓN_PRESUPUESTARIA_AL_30_DE_NOVIEMBRE_DE_2017">#REF!</definedName>
    <definedName name="PROG_05_EJECUCION_PRESUPUESTARIA_AL_30_DE_SEPTIEMBRE_2014">#REF!</definedName>
    <definedName name="PROG_05_EJECUCIÓN_PRESUPUESTARIA_AL_30_DE_SEPTIEMBRE_DE_2017">#REF!</definedName>
    <definedName name="PROG_05_EJECUCIÓN_PRESUPUESTARIA_AL_31_DE_AGOSTO_DE_2017">#REF!</definedName>
    <definedName name="PROG_05_EJECUCIÓN_PRESUPUESTARIA_AL_31_DE_DICIEMBRE_DE_2017">#REF!</definedName>
    <definedName name="PROG_05_EJECUCIÓN_PRESUPUESTARIA_AL_31_DE_DICIEMBRE_DEL_2015">#REF!</definedName>
    <definedName name="PROG_05_EJECUCION_PRESUPUESTARIA_AL_31_DE_ENERO_2014.">#REF!</definedName>
    <definedName name="PROG_05_EJECUCIÓN_PRESUPUESTARIA_AL_31_DE_ENERO_DE_2017">#REF!</definedName>
    <definedName name="PROG_05_EJECUCIÓN_PRESUPUESTARIA_AL_31_DE_ENERO_DE_2018">#REF!</definedName>
    <definedName name="PROG_05_EJECUCION_PRESUPUESTARIA_AL_31_DE_JULIO_2014">#REF!</definedName>
    <definedName name="PROG_05_EJECUCIÓN_PRESUPUESTARIA_AL_31_DE_MARZO_DEL_2014">#REF!</definedName>
    <definedName name="PROG_05_EJECUCION_PRESUPUESTARIA_AL_31_DE_MAYO_2014">#REF!</definedName>
    <definedName name="PROG_05_EJECUCION_PRESUPUESTARIA_AL_31_DE_OCTUBRE_2014">#REF!</definedName>
    <definedName name="PROG_05_EJECUCIÓN_PRESUPUESTARIA_AL_31_DE_OCTUBRE_DE_2017">#REF!</definedName>
    <definedName name="PROG_05_SITUACIÓN_PRESUPUESTARIA_AL_31_DE_MARZO_DEL_2015">#REF!</definedName>
    <definedName name="PROG_06_EJECUCIÓN_ACUMULADA_AL_13_DE_MARZO_DE_2018">#REF!</definedName>
    <definedName name="PROG_06_EJECUCIÓN_ACUMULADA_AL_31_DE_AGOSTO_DEL_2016">#REF!</definedName>
    <definedName name="PROG_06_EJECUCIÓN_PRESUPUESTARIA_ACUMULADA_AL_13_DE_MARZO_DE_2017">#REF!</definedName>
    <definedName name="PROG_06_EJECUCIÓN_PRESUPUESTARIA_ACUMULADA_AL_28_DE_FEBRERO_DE_2018">#REF!</definedName>
    <definedName name="PROG_06_EJECUCIÓN_PRESUPUESTARIA_ACUMULADA_AL_29_DE_FEBRERO_DEL_2016">#REF!</definedName>
    <definedName name="PROG_06_EJECUCIÓN_PRESUPUESTARIA_ACUMULADA_AL_30_DE_JUNIO_DE_2017">#REF!</definedName>
    <definedName name="PROG_06_EJECUCIÓN_PRESUPUESTARIA_ACUMULADA_AL_30_DE_JUNIO_DEL_2016">#REF!</definedName>
    <definedName name="PROG_06_EJECUCIÓN_PRESUPUESTARIA_ACUMULADA_AL_30_DE_NOVIEMBRE_DE_2017">#REF!</definedName>
    <definedName name="PROG_06_EJECUCIÓN_PRESUPUESTARIA_ACUMULADA_AL_30_DE_NOVIEMBRE_DEL_2016">#REF!</definedName>
    <definedName name="PROG_06_EJECUCIÓN_PRESUPUESTARIA_ACUMULADA_AL_30_DE_SEPTIEMBRE_2017">#REF!</definedName>
    <definedName name="PROG_06_EJECUCIÓN_PRESUPUESTARIA_ACUMULADA_AL_30_DE_SEPTIEMBRE_DE_2017">#REF!</definedName>
    <definedName name="PROG_06_EJECUCIÓN_PRESUPUESTARIA_ACUMULADA_AL_30_DE_SEPTIEMBRE_DEL_2016">#REF!</definedName>
    <definedName name="PROG_06_EJECUCIÓN_PRESUPUESTARIA_ACUMULADA_AL_31_DE_AGOSTO_DE_2017">#REF!</definedName>
    <definedName name="PROG_06_EJECUCIÓN_PRESUPUESTARIA_ACUMULADA_AL_31_DE_DICIEMBRE_DE_2017">#REF!</definedName>
    <definedName name="PROG_06_EJECUCIÓN_PRESUPUESTARIA_ACUMULADA_AL_31_DE_DICIEMBRE_DEL_2016">#REF!</definedName>
    <definedName name="PROG_06_EJECUCIÓN_PRESUPUESTARIA_ACUMULADA_AL_31_DE_JULIO_DE_2017">#REF!</definedName>
    <definedName name="PROG_06_EJECUCIÓN_PRESUPUESTARIA_ACUMULADA_AL_31_DE_JULIO_DE_2018">#REF!</definedName>
    <definedName name="PROG_06_EJECUCIÓN_PRESUPUESTARIA_ACUMULADA_AL_31_DE_JULIO_DEL_2016">#REF!</definedName>
    <definedName name="PROG_06_EJECUCIÓN_PRESUPUESTARIA_ACUMULADA_AL_31_DE_MARZO_DEL_2016">#REF!</definedName>
    <definedName name="PROG_06_EJECUCIÓN_PRESUPUESTARIA_ACUMULADA_AL_31_DE_MAYO_DE_2017">#REF!</definedName>
    <definedName name="PROG_06_EJECUCIÓN_PRESUPUESTARIA_ACUMULADA_AL_31_DE_MAYO_DEL_2016">#REF!</definedName>
    <definedName name="PROG_06_EJECUCIÓN_PRESUPUESTARIA_ACUMULADA_AL_31_DE_OCTUBRE_DE_2017">#REF!</definedName>
    <definedName name="PROG_06_EJECUCIÓN_PRESUPUESTARIA_ACUMULADA_AL_31_DE_OCTUBRE_DEL_2016">#REF!</definedName>
    <definedName name="PROG_06_EJECUCIÓN_PRESUPUESTARIA_AL_29_DE_FEBRERO_DEL_2016">#REF!</definedName>
    <definedName name="PROG_06_EJECUCIÓN_PRESUPUESTARIA_AL_30_DE_JUNIO_DE_2017">#REF!</definedName>
    <definedName name="PROG_06_EJECUCIÓN_PRESUPUESTARIA_AL_30_DE_JUNIO_DE_2017_V1">#REF!</definedName>
    <definedName name="PROG_06_EJECUCIÓN_PRESUPUESTARIA_AL_30_DE_JUNIO_DEL_2016">#REF!</definedName>
    <definedName name="PROG_06_EJECUCIÓN_PRESUPUESTARIA_AL_30_DE_NOVIEMBRE_DE_2017">#REF!</definedName>
    <definedName name="PROG_06_EJECUCIÓN_PRESUPUESTARIA_AL_30_DE_NOVIEMBRE_DEL_2016">#REF!</definedName>
    <definedName name="PROG_06_EJECUCIÓN_PRESUPUESTARIA_AL_30_DE_SEPTIEMBRE_DE_2017">#REF!</definedName>
    <definedName name="PROG_06_EJECUCIÓN_PRESUPUESTARIA_AL_30_DE_SEPTIEMBRE_DEL_2016">#REF!</definedName>
    <definedName name="PROG_06_EJECUCIÓN_PRESUPUESTARIA_AL_31_DE_AGOSTO_DE_2017">#REF!</definedName>
    <definedName name="PROG_06_EJECUCIÓN_PRESUPUESTARIA_AL_31_DE_AGOSTO_DEL_2016">#REF!</definedName>
    <definedName name="PROG_06_EJECUCIÓN_PRESUPUESTARIA_AL_31_DE_DICIEMBRE_DE_2017">#REF!</definedName>
    <definedName name="PROG_06_EJECUCIÓN_PRESUPUESTARIA_AL_31_DE_DICIEMBRE_DEL_2016">#REF!</definedName>
    <definedName name="PROG_06_EJECUCIÓN_PRESUPUESTARIA_AL_31_DE_ENERO_2016">#REF!</definedName>
    <definedName name="PROG_06_EJECUCIÓN_PRESUPUESTARIA_AL_31_DE_ENERO_DE_2017">#REF!</definedName>
    <definedName name="PROG_06_EJECUCIÓN_PRESUPUESTARIA_AL_31_DE_ENERO_DE_2018">#REF!</definedName>
    <definedName name="PROG_06_EJECUCIÓN_PRESUPUESTARIA_AL_31_DE_JULIO_DE_2017">#REF!</definedName>
    <definedName name="PROG_06_EJECUCION_PRESUPUESTARIA_AL_31_DE_JULIO_DE_2018">#REF!</definedName>
    <definedName name="PROG_06_EJECUCIÓN_PRESUPUESTARIA_AL_31_DE_JULIO_DE_2018">#REF!</definedName>
    <definedName name="PROG_06_EJECUCIÓN_PRESUPUESTARIA_AL_31_DE_JULIO_DEL_2016">#REF!</definedName>
    <definedName name="PROG_06_EJECUCIÓN_PRESUPUESTARIA_AL_31_DE_MAYO_DE_2017">#REF!</definedName>
    <definedName name="PROG_06_EJECUCIÓN_PRESUPUESTARIA_AL_31_DE_MAYO_DEL_2016">#REF!</definedName>
    <definedName name="PROG_06_EJECUCIÓN_PRESUPUESTARIA_AL_31_DE_OCTUBRE_DE_2017">#REF!</definedName>
    <definedName name="PROG_06_EJECUCIÓN_PRESUPUESTARIA_AL_31_DE_OCTUBRE_DEL_2016">#REF!</definedName>
    <definedName name="PROG01_EJECUCIÓN_PRESUPUESTARIA_ACUMULADA_AL_31_DE_MARZO_2018">#REF!</definedName>
    <definedName name="PROG01_EJECUCIÓN_PRESUPUESTARIA_AL_31_DE_MARZO_2018">#REF!</definedName>
    <definedName name="PROGRAMA_01_EJECUCIÓN_ACUMULADA_AL_28_DE_FEBRERO_2017">#REF!</definedName>
    <definedName name="PROGRAMA_01_EJECUCIÓN_PRESUPUESTARIA_AL_30_DE_JUNIO_2018">#REF!</definedName>
    <definedName name="PRROG_05_EJECUCIÓN_PRESUPUESTARIA_ACUMULADA_AL_31_DE_MAYO_DE_2017">#REF!</definedName>
    <definedName name="Requerimiento2022">#REF!</definedName>
    <definedName name="RequerimientoENERO">#REF!</definedName>
    <definedName name="Saldo_ENERO">#REF!</definedName>
    <definedName name="sep_2012">#REF!</definedName>
    <definedName name="SEPTIEMBRE_2012">#REF!</definedName>
    <definedName name="Situacionjulio">#REF!</definedName>
    <definedName name="_xlnm.Print_Titles" localSheetId="1">CONSOLIDADO!$B:$G,CONSOLIDADO!$4:$9</definedName>
    <definedName name="_xlnm.Print_Titles" localSheetId="3">'Prog 01'!$5:$208</definedName>
    <definedName name="_xlnm.Print_Titles" localSheetId="5">'Prog 03'!$B:$G,'Prog 03'!$7:$11</definedName>
    <definedName name="_xlnm.Print_Titles" localSheetId="6">'Prog 05'!$2:$8</definedName>
  </definedNames>
  <calcPr calcId="191029"/>
  <pivotCaches>
    <pivotCache cacheId="0" r:id="rId17"/>
    <pivotCache cacheId="1" r:id="rId1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54" l="1"/>
  <c r="O168" i="4"/>
  <c r="O169" i="4"/>
  <c r="O170" i="4"/>
  <c r="O171" i="4"/>
  <c r="J25" i="37"/>
  <c r="J26" i="37"/>
  <c r="K26" i="37" s="1"/>
  <c r="J27" i="37"/>
  <c r="K27" i="37" s="1"/>
  <c r="S25" i="37"/>
  <c r="S24" i="37" s="1"/>
  <c r="J24" i="37" s="1"/>
  <c r="U25" i="37"/>
  <c r="U24" i="37" s="1"/>
  <c r="U26" i="37"/>
  <c r="S26" i="37"/>
  <c r="M26" i="37"/>
  <c r="M27" i="37"/>
  <c r="R26" i="37"/>
  <c r="R27" i="37"/>
  <c r="Q9" i="4"/>
  <c r="I59" i="54"/>
  <c r="P59" i="54"/>
  <c r="T4" i="143"/>
  <c r="U4" i="143"/>
  <c r="V4" i="143"/>
  <c r="T5" i="143"/>
  <c r="U5" i="143"/>
  <c r="V5" i="143"/>
  <c r="T6" i="143"/>
  <c r="U6" i="143"/>
  <c r="V6" i="143"/>
  <c r="U3" i="143"/>
  <c r="V3" i="143"/>
  <c r="T3" i="143"/>
  <c r="P60" i="54"/>
  <c r="J23" i="37"/>
  <c r="N20" i="37"/>
  <c r="N19" i="37"/>
  <c r="N18" i="37"/>
  <c r="N17" i="37"/>
  <c r="N15" i="37"/>
  <c r="N13" i="37"/>
  <c r="L25" i="37"/>
  <c r="L24" i="37" s="1"/>
  <c r="L60" i="37"/>
  <c r="I60" i="37"/>
  <c r="I57" i="37"/>
  <c r="I58" i="37"/>
  <c r="I56" i="37"/>
  <c r="L55" i="37"/>
  <c r="I55" i="37"/>
  <c r="I54" i="37"/>
  <c r="I53" i="37"/>
  <c r="I52" i="37"/>
  <c r="L51" i="37"/>
  <c r="I51" i="37"/>
  <c r="I50" i="37"/>
  <c r="L49" i="37"/>
  <c r="I49" i="37"/>
  <c r="I47" i="37"/>
  <c r="N46" i="37"/>
  <c r="L46" i="37"/>
  <c r="I46" i="37"/>
  <c r="N44" i="37"/>
  <c r="L45" i="37"/>
  <c r="I45" i="37"/>
  <c r="I44" i="37"/>
  <c r="I36" i="37"/>
  <c r="I30" i="37"/>
  <c r="N26" i="37"/>
  <c r="O26" i="37" s="1"/>
  <c r="L26" i="37"/>
  <c r="N27" i="37"/>
  <c r="O27" i="37" s="1"/>
  <c r="I27" i="37"/>
  <c r="I25" i="37" s="1"/>
  <c r="N25" i="37" s="1"/>
  <c r="N24" i="37" s="1"/>
  <c r="I26" i="37"/>
  <c r="L20" i="37"/>
  <c r="L21" i="37"/>
  <c r="I19" i="37"/>
  <c r="I22" i="37"/>
  <c r="I21" i="37"/>
  <c r="I20" i="37"/>
  <c r="I18" i="37"/>
  <c r="I17" i="37"/>
  <c r="I15" i="37"/>
  <c r="L58" i="37"/>
  <c r="L57" i="37"/>
  <c r="L56" i="37"/>
  <c r="L53" i="37"/>
  <c r="L52" i="37"/>
  <c r="L36" i="37"/>
  <c r="L30" i="37"/>
  <c r="L18" i="37"/>
  <c r="L17" i="37"/>
  <c r="L15" i="37"/>
  <c r="Q11" i="142"/>
  <c r="U39" i="37"/>
  <c r="U33" i="37"/>
  <c r="U31" i="37"/>
  <c r="U29" i="37"/>
  <c r="U55" i="37"/>
  <c r="U51" i="37"/>
  <c r="U48" i="37" s="1"/>
  <c r="U45" i="37"/>
  <c r="U43" i="37" s="1"/>
  <c r="U21" i="37"/>
  <c r="U20" i="37"/>
  <c r="U18" i="37"/>
  <c r="Q3" i="142"/>
  <c r="Z4" i="142"/>
  <c r="AA4" i="142"/>
  <c r="AB4" i="142"/>
  <c r="Z5" i="142"/>
  <c r="AA5" i="142"/>
  <c r="AB5" i="142"/>
  <c r="Z6" i="142"/>
  <c r="AA6" i="142"/>
  <c r="AB6" i="142"/>
  <c r="Z7" i="142"/>
  <c r="AA7" i="142"/>
  <c r="AB7" i="142"/>
  <c r="Z8" i="142"/>
  <c r="AA8" i="142"/>
  <c r="AB8" i="142"/>
  <c r="Z9" i="142"/>
  <c r="AA9" i="142"/>
  <c r="AB9" i="142"/>
  <c r="Z10" i="142"/>
  <c r="AA10" i="142"/>
  <c r="AB10" i="142"/>
  <c r="Z11" i="142"/>
  <c r="AA11" i="142"/>
  <c r="AB11" i="142"/>
  <c r="Z12" i="142"/>
  <c r="AA12" i="142"/>
  <c r="AB12" i="142"/>
  <c r="Z13" i="142"/>
  <c r="AA13" i="142"/>
  <c r="AB13" i="142"/>
  <c r="Z14" i="142"/>
  <c r="AA14" i="142"/>
  <c r="AB14" i="142"/>
  <c r="Z15" i="142"/>
  <c r="AA15" i="142"/>
  <c r="AB15" i="142"/>
  <c r="Z16" i="142"/>
  <c r="AA16" i="142"/>
  <c r="AB16" i="142"/>
  <c r="Z17" i="142"/>
  <c r="AA17" i="142"/>
  <c r="AB17" i="142"/>
  <c r="Z18" i="142"/>
  <c r="AA18" i="142"/>
  <c r="AB18" i="142"/>
  <c r="Z19" i="142"/>
  <c r="AA19" i="142"/>
  <c r="AB19" i="142"/>
  <c r="Z20" i="142"/>
  <c r="AA20" i="142"/>
  <c r="AB20" i="142"/>
  <c r="Z21" i="142"/>
  <c r="AA21" i="142"/>
  <c r="AB21" i="142"/>
  <c r="Z22" i="142"/>
  <c r="AA22" i="142"/>
  <c r="AB22" i="142"/>
  <c r="Z23" i="142"/>
  <c r="AA23" i="142"/>
  <c r="AB23" i="142"/>
  <c r="Z24" i="142"/>
  <c r="AA24" i="142"/>
  <c r="AB24" i="142"/>
  <c r="Z25" i="142"/>
  <c r="AA25" i="142"/>
  <c r="AB25" i="142"/>
  <c r="Z26" i="142"/>
  <c r="AA26" i="142"/>
  <c r="AB26" i="142"/>
  <c r="Z27" i="142"/>
  <c r="AA27" i="142"/>
  <c r="AB27" i="142"/>
  <c r="Z28" i="142"/>
  <c r="AA28" i="142"/>
  <c r="AB28" i="142"/>
  <c r="Z29" i="142"/>
  <c r="AA29" i="142"/>
  <c r="AB29" i="142"/>
  <c r="Z30" i="142"/>
  <c r="AA30" i="142"/>
  <c r="AB30" i="142"/>
  <c r="Z31" i="142"/>
  <c r="AA31" i="142"/>
  <c r="AB31" i="142"/>
  <c r="Z32" i="142"/>
  <c r="AA32" i="142"/>
  <c r="AB32" i="142"/>
  <c r="Z33" i="142"/>
  <c r="AA33" i="142"/>
  <c r="AB33" i="142"/>
  <c r="Z34" i="142"/>
  <c r="AA34" i="142"/>
  <c r="AB34" i="142"/>
  <c r="Z35" i="142"/>
  <c r="AA35" i="142"/>
  <c r="AB35" i="142"/>
  <c r="Z36" i="142"/>
  <c r="AA36" i="142"/>
  <c r="AB36" i="142"/>
  <c r="Z37" i="142"/>
  <c r="AA37" i="142"/>
  <c r="AB37" i="142"/>
  <c r="Z38" i="142"/>
  <c r="AA38" i="142"/>
  <c r="AB38" i="142"/>
  <c r="Z39" i="142"/>
  <c r="AA39" i="142"/>
  <c r="AB39" i="142"/>
  <c r="Z40" i="142"/>
  <c r="AA40" i="142"/>
  <c r="AB40" i="142"/>
  <c r="Z41" i="142"/>
  <c r="AA41" i="142"/>
  <c r="AB41" i="142"/>
  <c r="Z42" i="142"/>
  <c r="AA42" i="142"/>
  <c r="AB42" i="142"/>
  <c r="Z43" i="142"/>
  <c r="AA43" i="142"/>
  <c r="AB43" i="142"/>
  <c r="Z44" i="142"/>
  <c r="AA44" i="142"/>
  <c r="AB44" i="142"/>
  <c r="Z45" i="142"/>
  <c r="AA45" i="142"/>
  <c r="AB45" i="142"/>
  <c r="Z46" i="142"/>
  <c r="AA46" i="142"/>
  <c r="AB46" i="142"/>
  <c r="Z47" i="142"/>
  <c r="AA47" i="142"/>
  <c r="AB47" i="142"/>
  <c r="Z48" i="142"/>
  <c r="AA48" i="142"/>
  <c r="AB48" i="142"/>
  <c r="Z49" i="142"/>
  <c r="AA49" i="142"/>
  <c r="AB49" i="142"/>
  <c r="Z50" i="142"/>
  <c r="AA50" i="142"/>
  <c r="AB50" i="142"/>
  <c r="Z51" i="142"/>
  <c r="AA51" i="142"/>
  <c r="AB51" i="142"/>
  <c r="Z52" i="142"/>
  <c r="AA52" i="142"/>
  <c r="AB52" i="142"/>
  <c r="Z53" i="142"/>
  <c r="AA53" i="142"/>
  <c r="AB53" i="142"/>
  <c r="AA3" i="142"/>
  <c r="AB3" i="142"/>
  <c r="Z3" i="142"/>
  <c r="Q4" i="142"/>
  <c r="Q5" i="142"/>
  <c r="Q6" i="142"/>
  <c r="Q7" i="142"/>
  <c r="Q8" i="142"/>
  <c r="Q9" i="142"/>
  <c r="Q10" i="142"/>
  <c r="P60" i="37"/>
  <c r="P58" i="37"/>
  <c r="P56" i="37"/>
  <c r="P57" i="37"/>
  <c r="P55" i="37"/>
  <c r="P54" i="37"/>
  <c r="P53" i="37"/>
  <c r="P52" i="37"/>
  <c r="P51" i="37"/>
  <c r="P50" i="37"/>
  <c r="P49" i="37"/>
  <c r="P47" i="37"/>
  <c r="P46" i="37"/>
  <c r="P45" i="37"/>
  <c r="P44" i="37"/>
  <c r="P36" i="37"/>
  <c r="P30" i="37"/>
  <c r="P23" i="37"/>
  <c r="P20" i="37"/>
  <c r="P19" i="37"/>
  <c r="P18" i="37"/>
  <c r="P21" i="37"/>
  <c r="P22" i="37"/>
  <c r="P17" i="37"/>
  <c r="P15" i="37"/>
  <c r="R25" i="37"/>
  <c r="Q24" i="37"/>
  <c r="P24" i="37"/>
  <c r="L62" i="35"/>
  <c r="I62" i="35"/>
  <c r="I60" i="35"/>
  <c r="I59" i="35"/>
  <c r="I58" i="35"/>
  <c r="L57" i="35"/>
  <c r="I57" i="35"/>
  <c r="I56" i="35"/>
  <c r="I49" i="35"/>
  <c r="I50" i="35"/>
  <c r="I51" i="35"/>
  <c r="I52" i="35"/>
  <c r="I48" i="35"/>
  <c r="N45" i="35"/>
  <c r="N43" i="35"/>
  <c r="N42" i="35"/>
  <c r="N41" i="35"/>
  <c r="L45" i="35"/>
  <c r="I45" i="35"/>
  <c r="L40" i="35"/>
  <c r="N38" i="35"/>
  <c r="L38" i="35"/>
  <c r="I38" i="35"/>
  <c r="I43" i="35"/>
  <c r="I42" i="35"/>
  <c r="I40" i="35"/>
  <c r="I39" i="35"/>
  <c r="U22" i="35"/>
  <c r="J22" i="35" s="1"/>
  <c r="N25" i="35"/>
  <c r="N23" i="35"/>
  <c r="L22" i="35"/>
  <c r="L26" i="35"/>
  <c r="I26" i="35"/>
  <c r="N26" i="35" s="1"/>
  <c r="I23" i="35"/>
  <c r="I24" i="35"/>
  <c r="N24" i="35" s="1"/>
  <c r="I22" i="35"/>
  <c r="I21" i="35" s="1"/>
  <c r="L15" i="35"/>
  <c r="L16" i="35"/>
  <c r="L43" i="35"/>
  <c r="L42" i="35"/>
  <c r="L39" i="35"/>
  <c r="L18" i="35"/>
  <c r="L17" i="35"/>
  <c r="I19" i="35"/>
  <c r="N19" i="35" s="1"/>
  <c r="I18" i="35"/>
  <c r="N18" i="35" s="1"/>
  <c r="I17" i="35"/>
  <c r="N17" i="35" s="1"/>
  <c r="I16" i="35"/>
  <c r="I15" i="35"/>
  <c r="U47" i="35"/>
  <c r="U46" i="35" s="1"/>
  <c r="U35" i="35"/>
  <c r="U33" i="35"/>
  <c r="U27" i="35"/>
  <c r="U11" i="35"/>
  <c r="V14" i="35"/>
  <c r="V13" i="35" s="1"/>
  <c r="U57" i="35"/>
  <c r="U55" i="35" s="1"/>
  <c r="U54" i="35" s="1"/>
  <c r="U53" i="35" s="1"/>
  <c r="U45" i="35"/>
  <c r="U44" i="35" s="1"/>
  <c r="U40" i="35"/>
  <c r="U37" i="35" s="1"/>
  <c r="U26" i="35"/>
  <c r="U16" i="35"/>
  <c r="U18" i="35"/>
  <c r="AB3" i="141"/>
  <c r="AA4" i="141"/>
  <c r="AB4" i="141"/>
  <c r="AC4" i="141"/>
  <c r="AA5" i="141"/>
  <c r="AB5" i="141"/>
  <c r="AC5" i="141"/>
  <c r="AA6" i="141"/>
  <c r="AB6" i="141"/>
  <c r="AC6" i="141"/>
  <c r="AA7" i="141"/>
  <c r="AB7" i="141"/>
  <c r="AC7" i="141"/>
  <c r="AA8" i="141"/>
  <c r="AB8" i="141"/>
  <c r="AC8" i="141"/>
  <c r="AA9" i="141"/>
  <c r="AB9" i="141"/>
  <c r="AC9" i="141"/>
  <c r="AA10" i="141"/>
  <c r="AB10" i="141"/>
  <c r="AC10" i="141"/>
  <c r="AA11" i="141"/>
  <c r="AB11" i="141"/>
  <c r="AC11" i="141"/>
  <c r="AA12" i="141"/>
  <c r="AB12" i="141"/>
  <c r="AC12" i="141"/>
  <c r="AA13" i="141"/>
  <c r="AB13" i="141"/>
  <c r="AC13" i="141"/>
  <c r="AA14" i="141"/>
  <c r="AB14" i="141"/>
  <c r="AC14" i="141"/>
  <c r="AA15" i="141"/>
  <c r="AB15" i="141"/>
  <c r="AC15" i="141"/>
  <c r="AA16" i="141"/>
  <c r="AB16" i="141"/>
  <c r="AC16" i="141"/>
  <c r="AA17" i="141"/>
  <c r="AB17" i="141"/>
  <c r="AC17" i="141"/>
  <c r="AA18" i="141"/>
  <c r="AB18" i="141"/>
  <c r="AC18" i="141"/>
  <c r="AA19" i="141"/>
  <c r="AB19" i="141"/>
  <c r="AC19" i="141"/>
  <c r="AA20" i="141"/>
  <c r="AB20" i="141"/>
  <c r="AC20" i="141"/>
  <c r="AA21" i="141"/>
  <c r="AB21" i="141"/>
  <c r="AC21" i="141"/>
  <c r="AA22" i="141"/>
  <c r="AB22" i="141"/>
  <c r="AC22" i="141"/>
  <c r="AA23" i="141"/>
  <c r="AB23" i="141"/>
  <c r="AC23" i="141"/>
  <c r="AA24" i="141"/>
  <c r="AB24" i="141"/>
  <c r="AC24" i="141"/>
  <c r="AA25" i="141"/>
  <c r="AB25" i="141"/>
  <c r="AC25" i="141"/>
  <c r="AA26" i="141"/>
  <c r="AB26" i="141"/>
  <c r="AC26" i="141"/>
  <c r="AA27" i="141"/>
  <c r="AB27" i="141"/>
  <c r="AC27" i="141"/>
  <c r="AA28" i="141"/>
  <c r="AB28" i="141"/>
  <c r="AC28" i="141"/>
  <c r="AA29" i="141"/>
  <c r="AB29" i="141"/>
  <c r="AC29" i="141"/>
  <c r="AA30" i="141"/>
  <c r="AB30" i="141"/>
  <c r="AC30" i="141"/>
  <c r="AA31" i="141"/>
  <c r="AB31" i="141"/>
  <c r="AC31" i="141"/>
  <c r="AA32" i="141"/>
  <c r="AB32" i="141"/>
  <c r="AC32" i="141"/>
  <c r="AA33" i="141"/>
  <c r="AB33" i="141"/>
  <c r="AC33" i="141"/>
  <c r="AA34" i="141"/>
  <c r="AB34" i="141"/>
  <c r="AC34" i="141"/>
  <c r="AA35" i="141"/>
  <c r="AB35" i="141"/>
  <c r="AC35" i="141"/>
  <c r="AA36" i="141"/>
  <c r="AB36" i="141"/>
  <c r="AC36" i="141"/>
  <c r="AA37" i="141"/>
  <c r="AB37" i="141"/>
  <c r="AC37" i="141"/>
  <c r="AA38" i="141"/>
  <c r="AB38" i="141"/>
  <c r="AC38" i="141"/>
  <c r="AA39" i="141"/>
  <c r="AB39" i="141"/>
  <c r="AC39" i="141"/>
  <c r="AA40" i="141"/>
  <c r="AB40" i="141"/>
  <c r="AC40" i="141"/>
  <c r="AA41" i="141"/>
  <c r="AB41" i="141"/>
  <c r="AC41" i="141"/>
  <c r="AA42" i="141"/>
  <c r="AB42" i="141"/>
  <c r="AC42" i="141"/>
  <c r="AA43" i="141"/>
  <c r="AB43" i="141"/>
  <c r="AC43" i="141"/>
  <c r="AA44" i="141"/>
  <c r="AB44" i="141"/>
  <c r="AC44" i="141"/>
  <c r="AA45" i="141"/>
  <c r="AB45" i="141"/>
  <c r="AC45" i="141"/>
  <c r="AA46" i="141"/>
  <c r="AB46" i="141"/>
  <c r="AC46" i="141"/>
  <c r="AA47" i="141"/>
  <c r="AB47" i="141"/>
  <c r="AC47" i="141"/>
  <c r="AC3" i="141"/>
  <c r="AA3" i="141"/>
  <c r="R4" i="141"/>
  <c r="R5" i="141"/>
  <c r="R6" i="141"/>
  <c r="R7" i="141"/>
  <c r="R8" i="141"/>
  <c r="R9" i="141"/>
  <c r="R3" i="141"/>
  <c r="P62" i="35"/>
  <c r="P60" i="35"/>
  <c r="P59" i="35"/>
  <c r="P58" i="35"/>
  <c r="P57" i="35"/>
  <c r="P56" i="35"/>
  <c r="P52" i="35"/>
  <c r="P49" i="35"/>
  <c r="P43" i="35"/>
  <c r="P38" i="35"/>
  <c r="P41" i="35"/>
  <c r="P42" i="35"/>
  <c r="P39" i="35"/>
  <c r="P40" i="35"/>
  <c r="P34" i="35"/>
  <c r="P32" i="35"/>
  <c r="P31" i="35"/>
  <c r="P30" i="35"/>
  <c r="P29" i="35"/>
  <c r="P28" i="35"/>
  <c r="P26" i="35"/>
  <c r="P24" i="35"/>
  <c r="P23" i="35"/>
  <c r="P22" i="35"/>
  <c r="N81" i="4"/>
  <c r="N82" i="4"/>
  <c r="F82" i="39"/>
  <c r="F81" i="39"/>
  <c r="F83" i="39"/>
  <c r="I81" i="39"/>
  <c r="L81" i="39"/>
  <c r="M81" i="39" s="1"/>
  <c r="H81" i="39"/>
  <c r="I82" i="39"/>
  <c r="L82" i="39"/>
  <c r="H82" i="39"/>
  <c r="M204" i="4"/>
  <c r="M205" i="4"/>
  <c r="M206" i="4"/>
  <c r="M207" i="4"/>
  <c r="M203" i="4"/>
  <c r="J204" i="4"/>
  <c r="J205" i="4"/>
  <c r="J206" i="4"/>
  <c r="J207" i="4"/>
  <c r="J203" i="4"/>
  <c r="M198" i="4"/>
  <c r="M197" i="4"/>
  <c r="J198" i="4"/>
  <c r="J197" i="4"/>
  <c r="M181" i="4"/>
  <c r="M182" i="4"/>
  <c r="M183" i="4"/>
  <c r="M184" i="4"/>
  <c r="M185" i="4"/>
  <c r="M186" i="4"/>
  <c r="M187" i="4"/>
  <c r="M188" i="4"/>
  <c r="M189" i="4"/>
  <c r="M190" i="4"/>
  <c r="M180" i="4"/>
  <c r="J190" i="4"/>
  <c r="J186" i="4"/>
  <c r="J187" i="4"/>
  <c r="J188" i="4"/>
  <c r="J189" i="4"/>
  <c r="J181" i="4"/>
  <c r="J182" i="4"/>
  <c r="J183" i="4"/>
  <c r="J184" i="4"/>
  <c r="J185" i="4"/>
  <c r="J180" i="4"/>
  <c r="O163" i="4"/>
  <c r="M163" i="4"/>
  <c r="J163" i="4"/>
  <c r="M162" i="4"/>
  <c r="J162" i="4"/>
  <c r="M153" i="4"/>
  <c r="J153" i="4"/>
  <c r="O148" i="4"/>
  <c r="O149" i="4"/>
  <c r="O150" i="4"/>
  <c r="O151" i="4"/>
  <c r="O152" i="4"/>
  <c r="M148" i="4"/>
  <c r="M149" i="4"/>
  <c r="M150" i="4"/>
  <c r="M151" i="4"/>
  <c r="M152" i="4"/>
  <c r="J148" i="4"/>
  <c r="J149" i="4"/>
  <c r="J150" i="4"/>
  <c r="J151" i="4"/>
  <c r="J152" i="4"/>
  <c r="M147" i="4"/>
  <c r="J147" i="4"/>
  <c r="U4" i="140"/>
  <c r="V4" i="140"/>
  <c r="W4" i="140"/>
  <c r="X4" i="140"/>
  <c r="U5" i="140"/>
  <c r="V5" i="140"/>
  <c r="W5" i="140"/>
  <c r="X5" i="140"/>
  <c r="U6" i="140"/>
  <c r="V6" i="140"/>
  <c r="W6" i="140"/>
  <c r="X6" i="140"/>
  <c r="U7" i="140"/>
  <c r="V7" i="140"/>
  <c r="W7" i="140"/>
  <c r="X7" i="140"/>
  <c r="U8" i="140"/>
  <c r="V8" i="140"/>
  <c r="W8" i="140"/>
  <c r="X8" i="140"/>
  <c r="U9" i="140"/>
  <c r="V9" i="140"/>
  <c r="W9" i="140"/>
  <c r="X9" i="140"/>
  <c r="U10" i="140"/>
  <c r="V10" i="140"/>
  <c r="W10" i="140"/>
  <c r="X10" i="140"/>
  <c r="U11" i="140"/>
  <c r="V11" i="140"/>
  <c r="W11" i="140"/>
  <c r="X11" i="140"/>
  <c r="U12" i="140"/>
  <c r="V12" i="140"/>
  <c r="W12" i="140"/>
  <c r="X12" i="140"/>
  <c r="U13" i="140"/>
  <c r="V13" i="140"/>
  <c r="W13" i="140"/>
  <c r="X13" i="140"/>
  <c r="U14" i="140"/>
  <c r="V14" i="140"/>
  <c r="W14" i="140"/>
  <c r="X14" i="140"/>
  <c r="U15" i="140"/>
  <c r="V15" i="140"/>
  <c r="W15" i="140"/>
  <c r="X15" i="140"/>
  <c r="U16" i="140"/>
  <c r="V16" i="140"/>
  <c r="W16" i="140"/>
  <c r="X16" i="140"/>
  <c r="U17" i="140"/>
  <c r="V17" i="140"/>
  <c r="W17" i="140"/>
  <c r="X17" i="140"/>
  <c r="U18" i="140"/>
  <c r="V18" i="140"/>
  <c r="W18" i="140"/>
  <c r="X18" i="140"/>
  <c r="U19" i="140"/>
  <c r="V19" i="140"/>
  <c r="W19" i="140"/>
  <c r="X19" i="140"/>
  <c r="U20" i="140"/>
  <c r="V20" i="140"/>
  <c r="W20" i="140"/>
  <c r="X20" i="140"/>
  <c r="U21" i="140"/>
  <c r="V21" i="140"/>
  <c r="W21" i="140"/>
  <c r="X21" i="140"/>
  <c r="U22" i="140"/>
  <c r="V22" i="140"/>
  <c r="W22" i="140"/>
  <c r="X22" i="140"/>
  <c r="U23" i="140"/>
  <c r="V23" i="140"/>
  <c r="W23" i="140"/>
  <c r="X23" i="140"/>
  <c r="U24" i="140"/>
  <c r="V24" i="140"/>
  <c r="W24" i="140"/>
  <c r="X24" i="140"/>
  <c r="U25" i="140"/>
  <c r="V25" i="140"/>
  <c r="W25" i="140"/>
  <c r="X25" i="140"/>
  <c r="U26" i="140"/>
  <c r="V26" i="140"/>
  <c r="W26" i="140"/>
  <c r="X26" i="140"/>
  <c r="U27" i="140"/>
  <c r="V27" i="140"/>
  <c r="W27" i="140"/>
  <c r="X27" i="140"/>
  <c r="U28" i="140"/>
  <c r="V28" i="140"/>
  <c r="W28" i="140"/>
  <c r="X28" i="140"/>
  <c r="U29" i="140"/>
  <c r="V29" i="140"/>
  <c r="W29" i="140"/>
  <c r="X29" i="140"/>
  <c r="U30" i="140"/>
  <c r="V30" i="140"/>
  <c r="W30" i="140"/>
  <c r="X30" i="140"/>
  <c r="U31" i="140"/>
  <c r="V31" i="140"/>
  <c r="W31" i="140"/>
  <c r="X31" i="140"/>
  <c r="U32" i="140"/>
  <c r="V32" i="140"/>
  <c r="W32" i="140"/>
  <c r="X32" i="140"/>
  <c r="U33" i="140"/>
  <c r="V33" i="140"/>
  <c r="W33" i="140"/>
  <c r="X33" i="140"/>
  <c r="U34" i="140"/>
  <c r="V34" i="140"/>
  <c r="W34" i="140"/>
  <c r="X34" i="140"/>
  <c r="U35" i="140"/>
  <c r="V35" i="140"/>
  <c r="W35" i="140"/>
  <c r="X35" i="140"/>
  <c r="U36" i="140"/>
  <c r="V36" i="140"/>
  <c r="W36" i="140"/>
  <c r="X36" i="140"/>
  <c r="U37" i="140"/>
  <c r="V37" i="140"/>
  <c r="W37" i="140"/>
  <c r="X37" i="140"/>
  <c r="U38" i="140"/>
  <c r="V38" i="140"/>
  <c r="W38" i="140"/>
  <c r="X38" i="140"/>
  <c r="U39" i="140"/>
  <c r="V39" i="140"/>
  <c r="W39" i="140"/>
  <c r="X39" i="140"/>
  <c r="U40" i="140"/>
  <c r="V40" i="140"/>
  <c r="W40" i="140"/>
  <c r="X40" i="140"/>
  <c r="U41" i="140"/>
  <c r="V41" i="140"/>
  <c r="W41" i="140"/>
  <c r="X41" i="140"/>
  <c r="U42" i="140"/>
  <c r="V42" i="140"/>
  <c r="W42" i="140"/>
  <c r="X42" i="140"/>
  <c r="U43" i="140"/>
  <c r="V43" i="140"/>
  <c r="W43" i="140"/>
  <c r="X43" i="140"/>
  <c r="U44" i="140"/>
  <c r="V44" i="140"/>
  <c r="W44" i="140"/>
  <c r="X44" i="140"/>
  <c r="U45" i="140"/>
  <c r="V45" i="140"/>
  <c r="W45" i="140"/>
  <c r="X45" i="140"/>
  <c r="U46" i="140"/>
  <c r="V46" i="140"/>
  <c r="W46" i="140"/>
  <c r="X46" i="140"/>
  <c r="U47" i="140"/>
  <c r="V47" i="140"/>
  <c r="W47" i="140"/>
  <c r="X47" i="140"/>
  <c r="U48" i="140"/>
  <c r="V48" i="140"/>
  <c r="W48" i="140"/>
  <c r="X48" i="140"/>
  <c r="U49" i="140"/>
  <c r="V49" i="140"/>
  <c r="W49" i="140"/>
  <c r="X49" i="140"/>
  <c r="U50" i="140"/>
  <c r="V50" i="140"/>
  <c r="W50" i="140"/>
  <c r="X50" i="140"/>
  <c r="U51" i="140"/>
  <c r="V51" i="140"/>
  <c r="W51" i="140"/>
  <c r="X51" i="140"/>
  <c r="U52" i="140"/>
  <c r="V52" i="140"/>
  <c r="W52" i="140"/>
  <c r="X52" i="140"/>
  <c r="U53" i="140"/>
  <c r="V53" i="140"/>
  <c r="W53" i="140"/>
  <c r="X53" i="140"/>
  <c r="U54" i="140"/>
  <c r="V54" i="140"/>
  <c r="W54" i="140"/>
  <c r="X54" i="140"/>
  <c r="U55" i="140"/>
  <c r="V55" i="140"/>
  <c r="W55" i="140"/>
  <c r="X55" i="140"/>
  <c r="U56" i="140"/>
  <c r="V56" i="140"/>
  <c r="W56" i="140"/>
  <c r="X56" i="140"/>
  <c r="U57" i="140"/>
  <c r="V57" i="140"/>
  <c r="W57" i="140"/>
  <c r="X57" i="140"/>
  <c r="U58" i="140"/>
  <c r="V58" i="140"/>
  <c r="W58" i="140"/>
  <c r="X58" i="140"/>
  <c r="U59" i="140"/>
  <c r="V59" i="140"/>
  <c r="W59" i="140"/>
  <c r="X59" i="140"/>
  <c r="U60" i="140"/>
  <c r="V60" i="140"/>
  <c r="W60" i="140"/>
  <c r="X60" i="140"/>
  <c r="U61" i="140"/>
  <c r="V61" i="140"/>
  <c r="W61" i="140"/>
  <c r="X61" i="140"/>
  <c r="U62" i="140"/>
  <c r="V62" i="140"/>
  <c r="W62" i="140"/>
  <c r="X62" i="140"/>
  <c r="U63" i="140"/>
  <c r="V63" i="140"/>
  <c r="W63" i="140"/>
  <c r="X63" i="140"/>
  <c r="U64" i="140"/>
  <c r="V64" i="140"/>
  <c r="W64" i="140"/>
  <c r="X64" i="140"/>
  <c r="U65" i="140"/>
  <c r="V65" i="140"/>
  <c r="W65" i="140"/>
  <c r="X65" i="140"/>
  <c r="U66" i="140"/>
  <c r="V66" i="140"/>
  <c r="W66" i="140"/>
  <c r="X66" i="140"/>
  <c r="U67" i="140"/>
  <c r="V67" i="140"/>
  <c r="W67" i="140"/>
  <c r="X67" i="140"/>
  <c r="U68" i="140"/>
  <c r="V68" i="140"/>
  <c r="W68" i="140"/>
  <c r="X68" i="140"/>
  <c r="U69" i="140"/>
  <c r="V69" i="140"/>
  <c r="W69" i="140"/>
  <c r="X69" i="140"/>
  <c r="U70" i="140"/>
  <c r="V70" i="140"/>
  <c r="W70" i="140"/>
  <c r="X70" i="140"/>
  <c r="U71" i="140"/>
  <c r="V71" i="140"/>
  <c r="W71" i="140"/>
  <c r="X71" i="140"/>
  <c r="U72" i="140"/>
  <c r="V72" i="140"/>
  <c r="W72" i="140"/>
  <c r="X72" i="140"/>
  <c r="U73" i="140"/>
  <c r="V73" i="140"/>
  <c r="W73" i="140"/>
  <c r="X73" i="140"/>
  <c r="U74" i="140"/>
  <c r="V74" i="140"/>
  <c r="W74" i="140"/>
  <c r="X74" i="140"/>
  <c r="U75" i="140"/>
  <c r="V75" i="140"/>
  <c r="W75" i="140"/>
  <c r="X75" i="140"/>
  <c r="U76" i="140"/>
  <c r="V76" i="140"/>
  <c r="W76" i="140"/>
  <c r="X76" i="140"/>
  <c r="U77" i="140"/>
  <c r="V77" i="140"/>
  <c r="W77" i="140"/>
  <c r="X77" i="140"/>
  <c r="U78" i="140"/>
  <c r="V78" i="140"/>
  <c r="W78" i="140"/>
  <c r="X78" i="140"/>
  <c r="U79" i="140"/>
  <c r="V79" i="140"/>
  <c r="W79" i="140"/>
  <c r="X79" i="140"/>
  <c r="U80" i="140"/>
  <c r="V80" i="140"/>
  <c r="W80" i="140"/>
  <c r="X80" i="140"/>
  <c r="U81" i="140"/>
  <c r="V81" i="140"/>
  <c r="W81" i="140"/>
  <c r="X81" i="140"/>
  <c r="U82" i="140"/>
  <c r="V82" i="140"/>
  <c r="W82" i="140"/>
  <c r="X82" i="140"/>
  <c r="U83" i="140"/>
  <c r="V83" i="140"/>
  <c r="W83" i="140"/>
  <c r="X83" i="140"/>
  <c r="U84" i="140"/>
  <c r="V84" i="140"/>
  <c r="W84" i="140"/>
  <c r="X84" i="140"/>
  <c r="U85" i="140"/>
  <c r="V85" i="140"/>
  <c r="W85" i="140"/>
  <c r="X85" i="140"/>
  <c r="U86" i="140"/>
  <c r="V86" i="140"/>
  <c r="W86" i="140"/>
  <c r="X86" i="140"/>
  <c r="U87" i="140"/>
  <c r="V87" i="140"/>
  <c r="W87" i="140"/>
  <c r="X87" i="140"/>
  <c r="U88" i="140"/>
  <c r="V88" i="140"/>
  <c r="W88" i="140"/>
  <c r="X88" i="140"/>
  <c r="U89" i="140"/>
  <c r="V89" i="140"/>
  <c r="W89" i="140"/>
  <c r="X89" i="140"/>
  <c r="U90" i="140"/>
  <c r="V90" i="140"/>
  <c r="W90" i="140"/>
  <c r="X90" i="140"/>
  <c r="U91" i="140"/>
  <c r="V91" i="140"/>
  <c r="W91" i="140"/>
  <c r="X91" i="140"/>
  <c r="U92" i="140"/>
  <c r="V92" i="140"/>
  <c r="W92" i="140"/>
  <c r="X92" i="140"/>
  <c r="U93" i="140"/>
  <c r="V93" i="140"/>
  <c r="W93" i="140"/>
  <c r="X93" i="140"/>
  <c r="U94" i="140"/>
  <c r="V94" i="140"/>
  <c r="W94" i="140"/>
  <c r="X94" i="140"/>
  <c r="U95" i="140"/>
  <c r="V95" i="140"/>
  <c r="W95" i="140"/>
  <c r="X95" i="140"/>
  <c r="U96" i="140"/>
  <c r="V96" i="140"/>
  <c r="W96" i="140"/>
  <c r="X96" i="140"/>
  <c r="U97" i="140"/>
  <c r="V97" i="140"/>
  <c r="W97" i="140"/>
  <c r="X97" i="140"/>
  <c r="U98" i="140"/>
  <c r="V98" i="140"/>
  <c r="W98" i="140"/>
  <c r="X98" i="140"/>
  <c r="U99" i="140"/>
  <c r="V99" i="140"/>
  <c r="W99" i="140"/>
  <c r="X99" i="140"/>
  <c r="U100" i="140"/>
  <c r="V100" i="140"/>
  <c r="W100" i="140"/>
  <c r="X100" i="140"/>
  <c r="U101" i="140"/>
  <c r="V101" i="140"/>
  <c r="W101" i="140"/>
  <c r="X101" i="140"/>
  <c r="U102" i="140"/>
  <c r="V102" i="140"/>
  <c r="W102" i="140"/>
  <c r="X102" i="140"/>
  <c r="U103" i="140"/>
  <c r="V103" i="140"/>
  <c r="W103" i="140"/>
  <c r="X103" i="140"/>
  <c r="U104" i="140"/>
  <c r="V104" i="140"/>
  <c r="W104" i="140"/>
  <c r="X104" i="140"/>
  <c r="U105" i="140"/>
  <c r="V105" i="140"/>
  <c r="W105" i="140"/>
  <c r="X105" i="140"/>
  <c r="U106" i="140"/>
  <c r="V106" i="140"/>
  <c r="W106" i="140"/>
  <c r="X106" i="140"/>
  <c r="U107" i="140"/>
  <c r="V107" i="140"/>
  <c r="W107" i="140"/>
  <c r="X107" i="140"/>
  <c r="U108" i="140"/>
  <c r="V108" i="140"/>
  <c r="W108" i="140"/>
  <c r="X108" i="140"/>
  <c r="U109" i="140"/>
  <c r="V109" i="140"/>
  <c r="W109" i="140"/>
  <c r="X109" i="140"/>
  <c r="U110" i="140"/>
  <c r="V110" i="140"/>
  <c r="W110" i="140"/>
  <c r="X110" i="140"/>
  <c r="U111" i="140"/>
  <c r="V111" i="140"/>
  <c r="W111" i="140"/>
  <c r="X111" i="140"/>
  <c r="U112" i="140"/>
  <c r="V112" i="140"/>
  <c r="W112" i="140"/>
  <c r="X112" i="140"/>
  <c r="U113" i="140"/>
  <c r="V113" i="140"/>
  <c r="W113" i="140"/>
  <c r="X113" i="140"/>
  <c r="U114" i="140"/>
  <c r="V114" i="140"/>
  <c r="W114" i="140"/>
  <c r="X114" i="140"/>
  <c r="U115" i="140"/>
  <c r="V115" i="140"/>
  <c r="W115" i="140"/>
  <c r="X115" i="140"/>
  <c r="U116" i="140"/>
  <c r="V116" i="140"/>
  <c r="W116" i="140"/>
  <c r="X116" i="140"/>
  <c r="U117" i="140"/>
  <c r="V117" i="140"/>
  <c r="W117" i="140"/>
  <c r="X117" i="140"/>
  <c r="U118" i="140"/>
  <c r="V118" i="140"/>
  <c r="W118" i="140"/>
  <c r="X118" i="140"/>
  <c r="U119" i="140"/>
  <c r="V119" i="140"/>
  <c r="W119" i="140"/>
  <c r="X119" i="140"/>
  <c r="U120" i="140"/>
  <c r="V120" i="140"/>
  <c r="W120" i="140"/>
  <c r="X120" i="140"/>
  <c r="U121" i="140"/>
  <c r="V121" i="140"/>
  <c r="W121" i="140"/>
  <c r="X121" i="140"/>
  <c r="U122" i="140"/>
  <c r="V122" i="140"/>
  <c r="W122" i="140"/>
  <c r="X122" i="140"/>
  <c r="U123" i="140"/>
  <c r="V123" i="140"/>
  <c r="W123" i="140"/>
  <c r="X123" i="140"/>
  <c r="U124" i="140"/>
  <c r="V124" i="140"/>
  <c r="W124" i="140"/>
  <c r="X124" i="140"/>
  <c r="U125" i="140"/>
  <c r="V125" i="140"/>
  <c r="W125" i="140"/>
  <c r="X125" i="140"/>
  <c r="U126" i="140"/>
  <c r="V126" i="140"/>
  <c r="W126" i="140"/>
  <c r="X126" i="140"/>
  <c r="U127" i="140"/>
  <c r="V127" i="140"/>
  <c r="W127" i="140"/>
  <c r="X127" i="140"/>
  <c r="U128" i="140"/>
  <c r="V128" i="140"/>
  <c r="W128" i="140"/>
  <c r="X128" i="140"/>
  <c r="U129" i="140"/>
  <c r="V129" i="140"/>
  <c r="W129" i="140"/>
  <c r="X129" i="140"/>
  <c r="U130" i="140"/>
  <c r="V130" i="140"/>
  <c r="W130" i="140"/>
  <c r="X130" i="140"/>
  <c r="U131" i="140"/>
  <c r="V131" i="140"/>
  <c r="W131" i="140"/>
  <c r="X131" i="140"/>
  <c r="U132" i="140"/>
  <c r="V132" i="140"/>
  <c r="W132" i="140"/>
  <c r="X132" i="140"/>
  <c r="U133" i="140"/>
  <c r="V133" i="140"/>
  <c r="W133" i="140"/>
  <c r="X133" i="140"/>
  <c r="U134" i="140"/>
  <c r="V134" i="140"/>
  <c r="W134" i="140"/>
  <c r="X134" i="140"/>
  <c r="U135" i="140"/>
  <c r="V135" i="140"/>
  <c r="W135" i="140"/>
  <c r="X135" i="140"/>
  <c r="U136" i="140"/>
  <c r="V136" i="140"/>
  <c r="W136" i="140"/>
  <c r="X136" i="140"/>
  <c r="U137" i="140"/>
  <c r="V137" i="140"/>
  <c r="W137" i="140"/>
  <c r="X137" i="140"/>
  <c r="U138" i="140"/>
  <c r="V138" i="140"/>
  <c r="W138" i="140"/>
  <c r="X138" i="140"/>
  <c r="U139" i="140"/>
  <c r="V139" i="140"/>
  <c r="W139" i="140"/>
  <c r="X139" i="140"/>
  <c r="U140" i="140"/>
  <c r="V140" i="140"/>
  <c r="W140" i="140"/>
  <c r="X140" i="140"/>
  <c r="U141" i="140"/>
  <c r="V141" i="140"/>
  <c r="W141" i="140"/>
  <c r="X141" i="140"/>
  <c r="U142" i="140"/>
  <c r="V142" i="140"/>
  <c r="W142" i="140"/>
  <c r="X142" i="140"/>
  <c r="U143" i="140"/>
  <c r="V143" i="140"/>
  <c r="W143" i="140"/>
  <c r="X143" i="140"/>
  <c r="U144" i="140"/>
  <c r="V144" i="140"/>
  <c r="W144" i="140"/>
  <c r="X144" i="140"/>
  <c r="U145" i="140"/>
  <c r="V145" i="140"/>
  <c r="W145" i="140"/>
  <c r="X145" i="140"/>
  <c r="U146" i="140"/>
  <c r="V146" i="140"/>
  <c r="W146" i="140"/>
  <c r="X146" i="140"/>
  <c r="U147" i="140"/>
  <c r="V147" i="140"/>
  <c r="W147" i="140"/>
  <c r="X147" i="140"/>
  <c r="V3" i="140"/>
  <c r="W3" i="140"/>
  <c r="X3" i="140"/>
  <c r="U3" i="140"/>
  <c r="J10" i="4" s="1"/>
  <c r="M86" i="4"/>
  <c r="M85" i="4"/>
  <c r="M81" i="4"/>
  <c r="M82" i="4"/>
  <c r="M83" i="4"/>
  <c r="J83" i="4"/>
  <c r="J81" i="4"/>
  <c r="J82" i="4"/>
  <c r="M141" i="4"/>
  <c r="M132" i="4"/>
  <c r="M123" i="4"/>
  <c r="M112" i="4"/>
  <c r="M104" i="4"/>
  <c r="M95" i="4"/>
  <c r="M80" i="4"/>
  <c r="M77" i="4"/>
  <c r="M76" i="4"/>
  <c r="M75" i="4"/>
  <c r="M74" i="4"/>
  <c r="M73" i="4"/>
  <c r="M72" i="4"/>
  <c r="M71" i="4"/>
  <c r="M70" i="4"/>
  <c r="M69" i="4"/>
  <c r="M68" i="4"/>
  <c r="M67" i="4"/>
  <c r="M66" i="4"/>
  <c r="M65" i="4"/>
  <c r="M64" i="4"/>
  <c r="M62" i="4"/>
  <c r="M61" i="4"/>
  <c r="M60" i="4"/>
  <c r="M59" i="4"/>
  <c r="M58" i="4"/>
  <c r="M57" i="4"/>
  <c r="M54" i="4"/>
  <c r="M53" i="4"/>
  <c r="M52" i="4"/>
  <c r="M51" i="4"/>
  <c r="M50" i="4"/>
  <c r="M49" i="4"/>
  <c r="M47" i="4"/>
  <c r="M46" i="4"/>
  <c r="M45" i="4"/>
  <c r="M44" i="4"/>
  <c r="M43" i="4"/>
  <c r="M42" i="4"/>
  <c r="M41" i="4"/>
  <c r="M40" i="4"/>
  <c r="M39" i="4"/>
  <c r="M38" i="4"/>
  <c r="M37" i="4"/>
  <c r="M36" i="4"/>
  <c r="M35" i="4"/>
  <c r="M34" i="4"/>
  <c r="M33" i="4"/>
  <c r="M31" i="4"/>
  <c r="M30" i="4"/>
  <c r="M29" i="4"/>
  <c r="M28" i="4"/>
  <c r="M27" i="4"/>
  <c r="M26" i="4"/>
  <c r="M23" i="4"/>
  <c r="M22" i="4"/>
  <c r="M21" i="4"/>
  <c r="M20" i="4"/>
  <c r="M19" i="4"/>
  <c r="M18" i="4"/>
  <c r="M17" i="4"/>
  <c r="M16" i="4"/>
  <c r="M15" i="4"/>
  <c r="M14" i="4"/>
  <c r="M13" i="4"/>
  <c r="M12" i="4"/>
  <c r="M11" i="4"/>
  <c r="M10" i="4"/>
  <c r="J145" i="4"/>
  <c r="J137" i="4"/>
  <c r="J136" i="4"/>
  <c r="J129" i="4"/>
  <c r="J128" i="4"/>
  <c r="J120" i="4"/>
  <c r="J118" i="4"/>
  <c r="J109" i="4"/>
  <c r="J108" i="4"/>
  <c r="J101" i="4"/>
  <c r="J100" i="4"/>
  <c r="J90" i="4"/>
  <c r="J89" i="4"/>
  <c r="J80" i="4"/>
  <c r="J77" i="4"/>
  <c r="J76" i="4"/>
  <c r="J75" i="4"/>
  <c r="J74" i="4"/>
  <c r="J73" i="4"/>
  <c r="J72" i="4"/>
  <c r="J71" i="4"/>
  <c r="J70" i="4"/>
  <c r="J69" i="4"/>
  <c r="J68" i="4"/>
  <c r="J67" i="4"/>
  <c r="J66" i="4"/>
  <c r="J65" i="4"/>
  <c r="J64" i="4"/>
  <c r="J62" i="4"/>
  <c r="J61" i="4"/>
  <c r="J60" i="4"/>
  <c r="J59" i="4"/>
  <c r="J58" i="4"/>
  <c r="J57" i="4"/>
  <c r="J54" i="4"/>
  <c r="J53" i="4"/>
  <c r="J52" i="4"/>
  <c r="J51" i="4"/>
  <c r="J50" i="4"/>
  <c r="J49" i="4"/>
  <c r="J47" i="4"/>
  <c r="J46" i="4"/>
  <c r="J45" i="4"/>
  <c r="J44" i="4"/>
  <c r="J43" i="4"/>
  <c r="J42" i="4"/>
  <c r="J41" i="4"/>
  <c r="J40" i="4"/>
  <c r="J39" i="4"/>
  <c r="J38" i="4"/>
  <c r="J37" i="4"/>
  <c r="J36" i="4"/>
  <c r="J35" i="4"/>
  <c r="J34" i="4"/>
  <c r="J33" i="4"/>
  <c r="J31" i="4"/>
  <c r="J30" i="4"/>
  <c r="J29" i="4"/>
  <c r="J28" i="4"/>
  <c r="J27" i="4"/>
  <c r="J26" i="4"/>
  <c r="J23" i="4"/>
  <c r="J22" i="4"/>
  <c r="J21" i="4"/>
  <c r="J20" i="4"/>
  <c r="J19" i="4"/>
  <c r="J18" i="4"/>
  <c r="J17" i="4"/>
  <c r="J16" i="4"/>
  <c r="J15" i="4"/>
  <c r="J14" i="4"/>
  <c r="J13" i="4"/>
  <c r="J12" i="4"/>
  <c r="J11" i="4"/>
  <c r="J85" i="4"/>
  <c r="J86" i="4"/>
  <c r="M90" i="4"/>
  <c r="M91" i="4"/>
  <c r="M93" i="4"/>
  <c r="J95" i="4"/>
  <c r="J97" i="4"/>
  <c r="M97" i="4"/>
  <c r="J98" i="4"/>
  <c r="J99" i="4"/>
  <c r="M101" i="4"/>
  <c r="M102" i="4"/>
  <c r="M103" i="4"/>
  <c r="J104" i="4"/>
  <c r="J105" i="4"/>
  <c r="M105" i="4"/>
  <c r="J106" i="4"/>
  <c r="J107" i="4"/>
  <c r="M109" i="4"/>
  <c r="M110" i="4"/>
  <c r="M111" i="4"/>
  <c r="J112" i="4"/>
  <c r="J113" i="4"/>
  <c r="M113" i="4"/>
  <c r="J114" i="4"/>
  <c r="J116" i="4"/>
  <c r="M120" i="4"/>
  <c r="M121" i="4"/>
  <c r="M122" i="4"/>
  <c r="J123" i="4"/>
  <c r="J124" i="4"/>
  <c r="M124" i="4"/>
  <c r="J125" i="4"/>
  <c r="J127" i="4"/>
  <c r="M129" i="4"/>
  <c r="M130" i="4"/>
  <c r="M131" i="4"/>
  <c r="J132" i="4"/>
  <c r="J133" i="4"/>
  <c r="M133" i="4"/>
  <c r="J134" i="4"/>
  <c r="J135" i="4"/>
  <c r="M137" i="4"/>
  <c r="M139" i="4"/>
  <c r="M140" i="4"/>
  <c r="J141" i="4"/>
  <c r="J142" i="4"/>
  <c r="M142" i="4"/>
  <c r="J143" i="4"/>
  <c r="J144" i="4"/>
  <c r="N4" i="140"/>
  <c r="V11" i="4" s="1"/>
  <c r="N5" i="140"/>
  <c r="V12" i="4" s="1"/>
  <c r="N6" i="140"/>
  <c r="V13" i="4" s="1"/>
  <c r="N7" i="140"/>
  <c r="V14" i="4" s="1"/>
  <c r="N8" i="140"/>
  <c r="V15" i="4" s="1"/>
  <c r="N9" i="140"/>
  <c r="V17" i="4" s="1"/>
  <c r="N10" i="140"/>
  <c r="V18" i="4" s="1"/>
  <c r="N11" i="140"/>
  <c r="V19" i="4" s="1"/>
  <c r="N12" i="140"/>
  <c r="V20" i="4" s="1"/>
  <c r="N13" i="140"/>
  <c r="V21" i="4" s="1"/>
  <c r="N14" i="140"/>
  <c r="V23" i="4" s="1"/>
  <c r="N15" i="140"/>
  <c r="V26" i="4" s="1"/>
  <c r="N16" i="140"/>
  <c r="V28" i="4" s="1"/>
  <c r="N17" i="140"/>
  <c r="V33" i="4" s="1"/>
  <c r="N18" i="140"/>
  <c r="V34" i="4" s="1"/>
  <c r="N19" i="140"/>
  <c r="V36" i="4" s="1"/>
  <c r="N20" i="140"/>
  <c r="V42" i="4" s="1"/>
  <c r="N21" i="140"/>
  <c r="V43" i="4" s="1"/>
  <c r="N22" i="140"/>
  <c r="V44" i="4" s="1"/>
  <c r="N23" i="140"/>
  <c r="V45" i="4" s="1"/>
  <c r="N24" i="140"/>
  <c r="V46" i="4" s="1"/>
  <c r="N25" i="140"/>
  <c r="V47" i="4" s="1"/>
  <c r="N26" i="140"/>
  <c r="V49" i="4" s="1"/>
  <c r="N27" i="140"/>
  <c r="V50" i="4" s="1"/>
  <c r="N28" i="140"/>
  <c r="V51" i="4" s="1"/>
  <c r="N29" i="140"/>
  <c r="V54" i="4" s="1"/>
  <c r="N30" i="140"/>
  <c r="V57" i="4" s="1"/>
  <c r="N31" i="140"/>
  <c r="V59" i="4" s="1"/>
  <c r="N32" i="140"/>
  <c r="V64" i="4" s="1"/>
  <c r="N33" i="140"/>
  <c r="V65" i="4" s="1"/>
  <c r="N34" i="140"/>
  <c r="V66" i="4" s="1"/>
  <c r="N35" i="140"/>
  <c r="V67" i="4" s="1"/>
  <c r="N36" i="140"/>
  <c r="V73" i="4" s="1"/>
  <c r="N37" i="140"/>
  <c r="V74" i="4" s="1"/>
  <c r="N38" i="140"/>
  <c r="V75" i="4" s="1"/>
  <c r="N39" i="140"/>
  <c r="V76" i="4" s="1"/>
  <c r="N40" i="140"/>
  <c r="V77" i="4" s="1"/>
  <c r="N41" i="140"/>
  <c r="V80" i="4" s="1"/>
  <c r="N42" i="140"/>
  <c r="V83" i="4" s="1"/>
  <c r="N43" i="140"/>
  <c r="V85" i="4" s="1"/>
  <c r="N44" i="140"/>
  <c r="V86" i="4" s="1"/>
  <c r="N45" i="140"/>
  <c r="V89" i="4" s="1"/>
  <c r="N46" i="140"/>
  <c r="V90" i="4" s="1"/>
  <c r="N47" i="140"/>
  <c r="V97" i="4" s="1"/>
  <c r="N48" i="140"/>
  <c r="V98" i="4" s="1"/>
  <c r="N49" i="140"/>
  <c r="V99" i="4" s="1"/>
  <c r="N50" i="140"/>
  <c r="V101" i="4" s="1"/>
  <c r="N51" i="140"/>
  <c r="V102" i="4" s="1"/>
  <c r="N52" i="140"/>
  <c r="V103" i="4" s="1"/>
  <c r="N53" i="140"/>
  <c r="V104" i="4" s="1"/>
  <c r="N54" i="140"/>
  <c r="V105" i="4" s="1"/>
  <c r="N55" i="140"/>
  <c r="V107" i="4" s="1"/>
  <c r="N56" i="140"/>
  <c r="V108" i="4" s="1"/>
  <c r="N57" i="140"/>
  <c r="V111" i="4" s="1"/>
  <c r="N58" i="140"/>
  <c r="V112" i="4" s="1"/>
  <c r="N59" i="140"/>
  <c r="V113" i="4" s="1"/>
  <c r="N60" i="140"/>
  <c r="V114" i="4" s="1"/>
  <c r="N61" i="140"/>
  <c r="V116" i="4" s="1"/>
  <c r="N62" i="140"/>
  <c r="V120" i="4" s="1"/>
  <c r="N63" i="140"/>
  <c r="V121" i="4" s="1"/>
  <c r="N64" i="140"/>
  <c r="V122" i="4" s="1"/>
  <c r="N65" i="140"/>
  <c r="V123" i="4" s="1"/>
  <c r="N66" i="140"/>
  <c r="V124" i="4" s="1"/>
  <c r="N67" i="140"/>
  <c r="V125" i="4" s="1"/>
  <c r="N68" i="140"/>
  <c r="V127" i="4" s="1"/>
  <c r="N69" i="140"/>
  <c r="V128" i="4" s="1"/>
  <c r="N70" i="140"/>
  <c r="V129" i="4" s="1"/>
  <c r="N71" i="140"/>
  <c r="V130" i="4" s="1"/>
  <c r="N72" i="140"/>
  <c r="V131" i="4" s="1"/>
  <c r="N73" i="140"/>
  <c r="V132" i="4" s="1"/>
  <c r="N74" i="140"/>
  <c r="V133" i="4" s="1"/>
  <c r="N75" i="140"/>
  <c r="V134" i="4" s="1"/>
  <c r="N76" i="140"/>
  <c r="V135" i="4" s="1"/>
  <c r="N77" i="140"/>
  <c r="V139" i="4" s="1"/>
  <c r="N78" i="140"/>
  <c r="V142" i="4" s="1"/>
  <c r="N79" i="140"/>
  <c r="V144" i="4" s="1"/>
  <c r="N80" i="140"/>
  <c r="V145" i="4" s="1"/>
  <c r="N81" i="140"/>
  <c r="V147" i="4" s="1"/>
  <c r="N82" i="140"/>
  <c r="V153" i="4" s="1"/>
  <c r="N83" i="140"/>
  <c r="V180" i="4" s="1"/>
  <c r="N84" i="140"/>
  <c r="V181" i="4" s="1"/>
  <c r="N85" i="140"/>
  <c r="V182" i="4" s="1"/>
  <c r="N86" i="140"/>
  <c r="V183" i="4" s="1"/>
  <c r="N87" i="140"/>
  <c r="V184" i="4" s="1"/>
  <c r="N88" i="140"/>
  <c r="V189" i="4" s="1"/>
  <c r="N89" i="140"/>
  <c r="V190" i="4" s="1"/>
  <c r="N90" i="140"/>
  <c r="V203" i="4" s="1"/>
  <c r="N91" i="140"/>
  <c r="V204" i="4" s="1"/>
  <c r="N92" i="140"/>
  <c r="V205" i="4" s="1"/>
  <c r="N3" i="140"/>
  <c r="V10" i="4" s="1"/>
  <c r="Q207" i="4"/>
  <c r="Q198" i="4"/>
  <c r="Q199" i="4"/>
  <c r="Q200" i="4"/>
  <c r="Q201" i="4"/>
  <c r="Q202" i="4"/>
  <c r="Q203" i="4"/>
  <c r="Q204" i="4"/>
  <c r="Q205" i="4"/>
  <c r="Q197" i="4"/>
  <c r="Q187" i="4"/>
  <c r="Q188" i="4"/>
  <c r="Q189" i="4"/>
  <c r="Q190" i="4"/>
  <c r="Q186" i="4"/>
  <c r="Q183" i="4"/>
  <c r="Q184" i="4"/>
  <c r="Q182" i="4"/>
  <c r="Q169" i="4"/>
  <c r="Q163" i="4"/>
  <c r="Q162" i="4"/>
  <c r="Q153" i="4"/>
  <c r="Q151" i="4"/>
  <c r="Q148" i="4"/>
  <c r="Q149" i="4"/>
  <c r="Q147" i="4"/>
  <c r="Q136" i="4"/>
  <c r="Q137" i="4"/>
  <c r="Q138" i="4"/>
  <c r="Q139" i="4"/>
  <c r="Q140" i="4"/>
  <c r="Q141" i="4"/>
  <c r="Q142" i="4"/>
  <c r="Q143" i="4"/>
  <c r="Q144" i="4"/>
  <c r="Q145" i="4"/>
  <c r="Q128" i="4"/>
  <c r="Q129" i="4"/>
  <c r="Q130" i="4"/>
  <c r="Q131" i="4"/>
  <c r="Q132" i="4"/>
  <c r="Q133" i="4"/>
  <c r="Q134" i="4"/>
  <c r="Q135" i="4"/>
  <c r="Q127" i="4"/>
  <c r="Q125" i="4"/>
  <c r="Q124" i="4"/>
  <c r="Q123" i="4"/>
  <c r="Q122" i="4"/>
  <c r="Q121" i="4"/>
  <c r="Q120" i="4"/>
  <c r="Q118" i="4"/>
  <c r="Q113" i="4"/>
  <c r="Q114" i="4"/>
  <c r="Q115" i="4"/>
  <c r="Q102" i="4"/>
  <c r="Q103" i="4"/>
  <c r="Q104" i="4"/>
  <c r="Q105" i="4"/>
  <c r="Q106" i="4"/>
  <c r="Q107" i="4"/>
  <c r="Q108" i="4"/>
  <c r="Q109" i="4"/>
  <c r="Q110" i="4"/>
  <c r="Q111" i="4"/>
  <c r="Q112" i="4"/>
  <c r="J214" i="39" l="1"/>
  <c r="R24" i="37"/>
  <c r="U16" i="37"/>
  <c r="U14" i="37" s="1"/>
  <c r="U12" i="37" s="1"/>
  <c r="U42" i="37"/>
  <c r="U38" i="37" s="1"/>
  <c r="U14" i="35"/>
  <c r="U13" i="35" s="1"/>
  <c r="N16" i="35"/>
  <c r="U21" i="35"/>
  <c r="U20" i="35" s="1"/>
  <c r="N22" i="35"/>
  <c r="M82" i="39"/>
  <c r="O82" i="4"/>
  <c r="O81" i="4"/>
  <c r="J91" i="4"/>
  <c r="J102" i="4"/>
  <c r="J110" i="4"/>
  <c r="J121" i="4"/>
  <c r="J130" i="4"/>
  <c r="J139" i="4"/>
  <c r="M98" i="4"/>
  <c r="M106" i="4"/>
  <c r="M114" i="4"/>
  <c r="M125" i="4"/>
  <c r="M134" i="4"/>
  <c r="M143" i="4"/>
  <c r="J93" i="4"/>
  <c r="J103" i="4"/>
  <c r="J111" i="4"/>
  <c r="J122" i="4"/>
  <c r="J131" i="4"/>
  <c r="J140" i="4"/>
  <c r="M99" i="4"/>
  <c r="M107" i="4"/>
  <c r="M116" i="4"/>
  <c r="M127" i="4"/>
  <c r="M135" i="4"/>
  <c r="M144" i="4"/>
  <c r="M89" i="4"/>
  <c r="O89" i="4" s="1"/>
  <c r="M100" i="4"/>
  <c r="M108" i="4"/>
  <c r="M118" i="4"/>
  <c r="M128" i="4"/>
  <c r="M136" i="4"/>
  <c r="M145" i="4"/>
  <c r="V9" i="4"/>
  <c r="G214" i="39"/>
  <c r="U10" i="35" l="1"/>
  <c r="U9" i="35" s="1"/>
  <c r="U11" i="37"/>
  <c r="Q12" i="142" s="1"/>
  <c r="P81" i="4"/>
  <c r="N81" i="39"/>
  <c r="O81" i="39" s="1"/>
  <c r="P82" i="4"/>
  <c r="N82" i="39"/>
  <c r="O82" i="39" s="1"/>
  <c r="R15" i="35"/>
  <c r="R16" i="35"/>
  <c r="R17" i="35"/>
  <c r="R18" i="35"/>
  <c r="R19" i="35"/>
  <c r="M12" i="35"/>
  <c r="H112" i="136"/>
  <c r="P35" i="37"/>
  <c r="S47" i="35"/>
  <c r="S46" i="35" s="1"/>
  <c r="Q43" i="35"/>
  <c r="Q44" i="35"/>
  <c r="R44" i="35" s="1"/>
  <c r="Q45" i="35"/>
  <c r="R45" i="35" s="1"/>
  <c r="F4" i="143"/>
  <c r="H60" i="54" s="1"/>
  <c r="F5" i="143"/>
  <c r="F6" i="143"/>
  <c r="F3" i="143"/>
  <c r="L71" i="54"/>
  <c r="H70" i="54"/>
  <c r="P33" i="54"/>
  <c r="Q53" i="54"/>
  <c r="Q59" i="54"/>
  <c r="Q60" i="54"/>
  <c r="Q61" i="54"/>
  <c r="Q62" i="54"/>
  <c r="Q63" i="54"/>
  <c r="Q64" i="54"/>
  <c r="J61" i="37"/>
  <c r="J55" i="37"/>
  <c r="J54" i="37"/>
  <c r="J53" i="37"/>
  <c r="J52" i="37"/>
  <c r="J51" i="37"/>
  <c r="J50" i="37"/>
  <c r="J47" i="37"/>
  <c r="J45" i="37"/>
  <c r="J44" i="37"/>
  <c r="J32" i="37"/>
  <c r="J22" i="37"/>
  <c r="J21" i="37"/>
  <c r="J20" i="37"/>
  <c r="J19" i="37"/>
  <c r="J17" i="37"/>
  <c r="J15" i="37"/>
  <c r="H22" i="37"/>
  <c r="S39" i="37"/>
  <c r="T36" i="37"/>
  <c r="Q36" i="37" s="1"/>
  <c r="S36" i="37"/>
  <c r="S35" i="37" s="1"/>
  <c r="S28" i="37"/>
  <c r="H4" i="142"/>
  <c r="I4" i="142"/>
  <c r="J4" i="142"/>
  <c r="H5" i="142"/>
  <c r="H17" i="37" s="1"/>
  <c r="I5" i="142"/>
  <c r="J5" i="142"/>
  <c r="H6" i="142"/>
  <c r="I6" i="142"/>
  <c r="J6" i="142"/>
  <c r="H7" i="142"/>
  <c r="I7" i="142"/>
  <c r="J7" i="142"/>
  <c r="H8" i="142"/>
  <c r="I8" i="142"/>
  <c r="J8" i="142"/>
  <c r="H9" i="142"/>
  <c r="I9" i="142"/>
  <c r="J9" i="142"/>
  <c r="H10" i="142"/>
  <c r="H20" i="37" s="1"/>
  <c r="I10" i="142"/>
  <c r="J10" i="142"/>
  <c r="H11" i="142"/>
  <c r="H19" i="37" s="1"/>
  <c r="I11" i="142"/>
  <c r="J11" i="142"/>
  <c r="H12" i="142"/>
  <c r="I12" i="142"/>
  <c r="J12" i="142"/>
  <c r="H13" i="142"/>
  <c r="I13" i="142"/>
  <c r="J13" i="142"/>
  <c r="S18" i="37" s="1"/>
  <c r="S16" i="37" s="1"/>
  <c r="S14" i="37" s="1"/>
  <c r="S12" i="37" s="1"/>
  <c r="H14" i="142"/>
  <c r="I14" i="142"/>
  <c r="J14" i="142"/>
  <c r="H15" i="142"/>
  <c r="I15" i="142"/>
  <c r="J15" i="142"/>
  <c r="H16" i="142"/>
  <c r="I16" i="142"/>
  <c r="J16" i="142"/>
  <c r="H17" i="142"/>
  <c r="I17" i="142"/>
  <c r="J17" i="142"/>
  <c r="H18" i="142"/>
  <c r="I18" i="142"/>
  <c r="J18" i="142"/>
  <c r="H19" i="142"/>
  <c r="I19" i="142"/>
  <c r="J19" i="142"/>
  <c r="H20" i="142"/>
  <c r="I20" i="142"/>
  <c r="J20" i="142"/>
  <c r="H21" i="142"/>
  <c r="I21" i="142"/>
  <c r="J21" i="142"/>
  <c r="H22" i="142"/>
  <c r="I22" i="142"/>
  <c r="J22" i="142"/>
  <c r="H23" i="142"/>
  <c r="I23" i="142"/>
  <c r="J23" i="142"/>
  <c r="H24" i="142"/>
  <c r="I24" i="142"/>
  <c r="J24" i="142"/>
  <c r="H25" i="142"/>
  <c r="H30" i="37" s="1"/>
  <c r="I25" i="142"/>
  <c r="J25" i="142"/>
  <c r="H26" i="142"/>
  <c r="I35" i="37" s="1"/>
  <c r="I26" i="142"/>
  <c r="J26" i="142"/>
  <c r="H27" i="142"/>
  <c r="I27" i="142"/>
  <c r="J27" i="142"/>
  <c r="H28" i="142"/>
  <c r="I28" i="142"/>
  <c r="J28" i="142"/>
  <c r="H29" i="142"/>
  <c r="I29" i="142"/>
  <c r="J29" i="142"/>
  <c r="H30" i="142"/>
  <c r="I30" i="142"/>
  <c r="J30" i="142"/>
  <c r="H31" i="142"/>
  <c r="I31" i="142"/>
  <c r="J31" i="142"/>
  <c r="S46" i="37" s="1"/>
  <c r="S43" i="37" s="1"/>
  <c r="J43" i="37" s="1"/>
  <c r="H32" i="142"/>
  <c r="I32" i="142"/>
  <c r="J32" i="142"/>
  <c r="H33" i="142"/>
  <c r="I33" i="142"/>
  <c r="J33" i="142"/>
  <c r="H34" i="142"/>
  <c r="I34" i="142"/>
  <c r="J34" i="142"/>
  <c r="S49" i="37" s="1"/>
  <c r="S48" i="37" s="1"/>
  <c r="J48" i="37" s="1"/>
  <c r="H35" i="142"/>
  <c r="I35" i="142"/>
  <c r="J35" i="142"/>
  <c r="H36" i="142"/>
  <c r="I36" i="142"/>
  <c r="J36" i="142"/>
  <c r="H37" i="142"/>
  <c r="I37" i="142"/>
  <c r="J37" i="142"/>
  <c r="H38" i="142"/>
  <c r="I38" i="142"/>
  <c r="J38" i="142"/>
  <c r="H39" i="142"/>
  <c r="I39" i="142"/>
  <c r="J39" i="142"/>
  <c r="H40" i="142"/>
  <c r="H55" i="37" s="1"/>
  <c r="I40" i="142"/>
  <c r="J40" i="142"/>
  <c r="H41" i="142"/>
  <c r="I41" i="142"/>
  <c r="J41" i="142"/>
  <c r="H42" i="142"/>
  <c r="I42" i="142"/>
  <c r="J42" i="142"/>
  <c r="H43" i="142"/>
  <c r="I43" i="142"/>
  <c r="J43" i="142"/>
  <c r="H44" i="142"/>
  <c r="I44" i="142"/>
  <c r="J44" i="142"/>
  <c r="H45" i="142"/>
  <c r="I45" i="142"/>
  <c r="J45" i="142"/>
  <c r="S60" i="37" s="1"/>
  <c r="S59" i="37" s="1"/>
  <c r="J59" i="37" s="1"/>
  <c r="H46" i="142"/>
  <c r="I46" i="142"/>
  <c r="J46" i="142"/>
  <c r="I3" i="142"/>
  <c r="J3" i="142"/>
  <c r="H3" i="142"/>
  <c r="P29" i="37"/>
  <c r="P28" i="37" s="1"/>
  <c r="Q23" i="37"/>
  <c r="Q61" i="37"/>
  <c r="Q58" i="37"/>
  <c r="Q56" i="37"/>
  <c r="Q55" i="37"/>
  <c r="Q53" i="37"/>
  <c r="Q51" i="37"/>
  <c r="Q50" i="37"/>
  <c r="Q47" i="37"/>
  <c r="Q44" i="37"/>
  <c r="Q41" i="37"/>
  <c r="Q40" i="37"/>
  <c r="Q37" i="37"/>
  <c r="Q30" i="37"/>
  <c r="Q29" i="37"/>
  <c r="Q20" i="37"/>
  <c r="Q19" i="37"/>
  <c r="R48" i="35"/>
  <c r="R51" i="35"/>
  <c r="R213" i="39"/>
  <c r="P212" i="39"/>
  <c r="P211" i="39" s="1"/>
  <c r="G212" i="39"/>
  <c r="L47" i="35"/>
  <c r="V47" i="35"/>
  <c r="V46" i="35" s="1"/>
  <c r="W47" i="35"/>
  <c r="X47" i="35"/>
  <c r="Y47" i="35"/>
  <c r="Z47" i="35"/>
  <c r="AA47" i="35"/>
  <c r="AB47" i="35"/>
  <c r="AC47" i="35"/>
  <c r="AD47" i="35"/>
  <c r="AE47" i="35"/>
  <c r="AE46" i="35" s="1"/>
  <c r="Q14" i="35"/>
  <c r="Q13" i="35" s="1"/>
  <c r="P14" i="35"/>
  <c r="P13" i="35" s="1"/>
  <c r="T14" i="35"/>
  <c r="T13" i="35" s="1"/>
  <c r="J15" i="35"/>
  <c r="J17" i="35"/>
  <c r="J19" i="35"/>
  <c r="I41" i="35"/>
  <c r="I34" i="35"/>
  <c r="J26" i="35"/>
  <c r="J25" i="35"/>
  <c r="J24" i="35"/>
  <c r="J23" i="35"/>
  <c r="J12" i="35"/>
  <c r="T33" i="35"/>
  <c r="T35" i="35"/>
  <c r="T37" i="35"/>
  <c r="T55" i="35"/>
  <c r="T54" i="35" s="1"/>
  <c r="S55" i="35"/>
  <c r="S37" i="35"/>
  <c r="S35" i="35"/>
  <c r="S33" i="35"/>
  <c r="S21" i="35"/>
  <c r="H4" i="141"/>
  <c r="I4" i="141"/>
  <c r="J4" i="141"/>
  <c r="H5" i="141"/>
  <c r="H17" i="35" s="1"/>
  <c r="I5" i="141"/>
  <c r="J5" i="141"/>
  <c r="H6" i="141"/>
  <c r="H18" i="35" s="1"/>
  <c r="I6" i="141"/>
  <c r="J6" i="141"/>
  <c r="H7" i="141"/>
  <c r="H19" i="35" s="1"/>
  <c r="I7" i="141"/>
  <c r="J7" i="141"/>
  <c r="H8" i="141"/>
  <c r="I8" i="141"/>
  <c r="S16" i="35" s="1"/>
  <c r="J16" i="35" s="1"/>
  <c r="J8" i="141"/>
  <c r="H9" i="141"/>
  <c r="I9" i="141"/>
  <c r="S18" i="35" s="1"/>
  <c r="J9" i="141"/>
  <c r="H10" i="141"/>
  <c r="I10" i="141"/>
  <c r="J10" i="141"/>
  <c r="H11" i="141"/>
  <c r="I11" i="141"/>
  <c r="J11" i="141"/>
  <c r="H12" i="141"/>
  <c r="I12" i="141"/>
  <c r="J12" i="141"/>
  <c r="H13" i="141"/>
  <c r="I13" i="141"/>
  <c r="J13" i="141"/>
  <c r="H14" i="141"/>
  <c r="I14" i="141"/>
  <c r="J14" i="141"/>
  <c r="H15" i="141"/>
  <c r="H26" i="35" s="1"/>
  <c r="I15" i="141"/>
  <c r="J15" i="141"/>
  <c r="H16" i="141"/>
  <c r="I16" i="141"/>
  <c r="J16" i="141"/>
  <c r="H17" i="141"/>
  <c r="I17" i="141"/>
  <c r="J17" i="141"/>
  <c r="H18" i="141"/>
  <c r="I18" i="141"/>
  <c r="J18" i="141"/>
  <c r="H19" i="141"/>
  <c r="H40" i="35" s="1"/>
  <c r="I19" i="141"/>
  <c r="J19" i="141"/>
  <c r="H20" i="141"/>
  <c r="H42" i="35" s="1"/>
  <c r="I20" i="141"/>
  <c r="J20" i="141"/>
  <c r="H21" i="141"/>
  <c r="H43" i="35" s="1"/>
  <c r="I21" i="141"/>
  <c r="J21" i="141"/>
  <c r="H22" i="141"/>
  <c r="H38" i="35" s="1"/>
  <c r="I22" i="141"/>
  <c r="J22" i="141"/>
  <c r="H23" i="141"/>
  <c r="I23" i="141"/>
  <c r="J23" i="141"/>
  <c r="H24" i="141"/>
  <c r="I24" i="141"/>
  <c r="J24" i="141"/>
  <c r="H25" i="141"/>
  <c r="I25" i="141"/>
  <c r="J25" i="141"/>
  <c r="H26" i="141"/>
  <c r="H45" i="35" s="1"/>
  <c r="H44" i="35" s="1"/>
  <c r="I26" i="141"/>
  <c r="J26" i="141"/>
  <c r="H27" i="141"/>
  <c r="I27" i="141"/>
  <c r="J27" i="141"/>
  <c r="L44" i="35" s="1"/>
  <c r="H28" i="141"/>
  <c r="M48" i="35" s="1"/>
  <c r="I28" i="141"/>
  <c r="J28" i="141"/>
  <c r="H29" i="141"/>
  <c r="N49" i="35" s="1"/>
  <c r="O49" i="35" s="1"/>
  <c r="I29" i="141"/>
  <c r="J29" i="141"/>
  <c r="H30" i="141"/>
  <c r="N50" i="35" s="1"/>
  <c r="O50" i="35" s="1"/>
  <c r="I30" i="141"/>
  <c r="J30" i="141"/>
  <c r="H31" i="141"/>
  <c r="N51" i="35" s="1"/>
  <c r="O51" i="35" s="1"/>
  <c r="I31" i="141"/>
  <c r="J31" i="141"/>
  <c r="H32" i="141"/>
  <c r="N52" i="35" s="1"/>
  <c r="I32" i="141"/>
  <c r="J32" i="141"/>
  <c r="H33" i="141"/>
  <c r="H56" i="35" s="1"/>
  <c r="I33" i="141"/>
  <c r="J33" i="141"/>
  <c r="H34" i="141"/>
  <c r="I34" i="141"/>
  <c r="J34" i="141"/>
  <c r="H35" i="141"/>
  <c r="I35" i="141"/>
  <c r="J35" i="141"/>
  <c r="H36" i="141"/>
  <c r="I36" i="141"/>
  <c r="J36" i="141"/>
  <c r="H37" i="141"/>
  <c r="I37" i="141"/>
  <c r="J37" i="141"/>
  <c r="H38" i="141"/>
  <c r="H60" i="35" s="1"/>
  <c r="I38" i="141"/>
  <c r="J38" i="141"/>
  <c r="H39" i="141"/>
  <c r="I39" i="141"/>
  <c r="J39" i="141"/>
  <c r="H40" i="141"/>
  <c r="I40" i="141"/>
  <c r="J40" i="141"/>
  <c r="H41" i="141"/>
  <c r="I41" i="141"/>
  <c r="J41" i="141"/>
  <c r="H42" i="141"/>
  <c r="I42" i="141"/>
  <c r="J42" i="141"/>
  <c r="H43" i="141"/>
  <c r="I43" i="141"/>
  <c r="J43" i="141"/>
  <c r="H44" i="141"/>
  <c r="I44" i="141"/>
  <c r="J44" i="141"/>
  <c r="I3" i="141"/>
  <c r="J3" i="141"/>
  <c r="H3" i="141"/>
  <c r="N15" i="35" s="1"/>
  <c r="O15" i="35" s="1"/>
  <c r="P11" i="35"/>
  <c r="Q50" i="35"/>
  <c r="R50" i="35" s="1"/>
  <c r="Q52" i="35"/>
  <c r="P35" i="35"/>
  <c r="Q60" i="35"/>
  <c r="Q59" i="35"/>
  <c r="Q58" i="35"/>
  <c r="Q41" i="35"/>
  <c r="Q40" i="35"/>
  <c r="Q39" i="35"/>
  <c r="Q36" i="35"/>
  <c r="Q34" i="35"/>
  <c r="Q31" i="35"/>
  <c r="Q28" i="35"/>
  <c r="Q25" i="35"/>
  <c r="Q24" i="35"/>
  <c r="Q23" i="35"/>
  <c r="Q12" i="35"/>
  <c r="R12" i="35" s="1"/>
  <c r="O24" i="4"/>
  <c r="R16" i="4"/>
  <c r="S16" i="4" s="1"/>
  <c r="R25" i="4"/>
  <c r="R24" i="4"/>
  <c r="H133" i="136"/>
  <c r="I133" i="136"/>
  <c r="J133" i="136"/>
  <c r="K133" i="136"/>
  <c r="H134" i="136"/>
  <c r="I134" i="136"/>
  <c r="J134" i="136"/>
  <c r="K134" i="136"/>
  <c r="H135" i="136"/>
  <c r="I135" i="136"/>
  <c r="J135" i="136"/>
  <c r="K135" i="136"/>
  <c r="H136" i="136"/>
  <c r="I136" i="136"/>
  <c r="J136" i="136"/>
  <c r="K136" i="136"/>
  <c r="H137" i="136"/>
  <c r="I137" i="136"/>
  <c r="J137" i="136"/>
  <c r="K137" i="136"/>
  <c r="H138" i="136"/>
  <c r="I138" i="136"/>
  <c r="J138" i="136"/>
  <c r="K138" i="136"/>
  <c r="H139" i="136"/>
  <c r="I139" i="136"/>
  <c r="J139" i="136"/>
  <c r="K139" i="136"/>
  <c r="U201" i="4" s="1"/>
  <c r="H140" i="136"/>
  <c r="I140" i="136"/>
  <c r="J140" i="136"/>
  <c r="K140" i="136"/>
  <c r="H141" i="136"/>
  <c r="I141" i="136"/>
  <c r="J141" i="136"/>
  <c r="K141" i="136"/>
  <c r="U203" i="4" s="1"/>
  <c r="H142" i="136"/>
  <c r="I142" i="136"/>
  <c r="J142" i="136"/>
  <c r="K142" i="136"/>
  <c r="U204" i="4" s="1"/>
  <c r="H143" i="136"/>
  <c r="I143" i="136"/>
  <c r="J143" i="136"/>
  <c r="K143" i="136"/>
  <c r="H144" i="136"/>
  <c r="I144" i="136"/>
  <c r="J144" i="136"/>
  <c r="K144" i="136"/>
  <c r="U207" i="4" s="1"/>
  <c r="J150" i="39"/>
  <c r="F4" i="140"/>
  <c r="G4" i="140"/>
  <c r="H4" i="140"/>
  <c r="I4" i="140"/>
  <c r="F5" i="140"/>
  <c r="G5" i="140"/>
  <c r="H5" i="140"/>
  <c r="I5" i="140"/>
  <c r="F6" i="140"/>
  <c r="G6" i="140"/>
  <c r="H6" i="140"/>
  <c r="I6" i="140"/>
  <c r="F7" i="140"/>
  <c r="G7" i="140"/>
  <c r="H7" i="140"/>
  <c r="I7" i="140"/>
  <c r="F8" i="140"/>
  <c r="G8" i="140"/>
  <c r="H8" i="140"/>
  <c r="I8" i="140"/>
  <c r="F9" i="140"/>
  <c r="G9" i="140"/>
  <c r="H9" i="140"/>
  <c r="I9" i="140"/>
  <c r="F10" i="140"/>
  <c r="G10" i="140"/>
  <c r="H10" i="140"/>
  <c r="I10" i="140"/>
  <c r="F11" i="140"/>
  <c r="G11" i="140"/>
  <c r="H11" i="140"/>
  <c r="I11" i="140"/>
  <c r="F12" i="140"/>
  <c r="G12" i="140"/>
  <c r="H12" i="140"/>
  <c r="I12" i="140"/>
  <c r="F13" i="140"/>
  <c r="G13" i="140"/>
  <c r="H13" i="140"/>
  <c r="I13" i="140"/>
  <c r="F14" i="140"/>
  <c r="G14" i="140"/>
  <c r="H14" i="140"/>
  <c r="I14" i="140"/>
  <c r="F15" i="140"/>
  <c r="G15" i="140"/>
  <c r="H15" i="140"/>
  <c r="I15" i="140"/>
  <c r="F16" i="140"/>
  <c r="G16" i="140"/>
  <c r="H16" i="140"/>
  <c r="I16" i="140"/>
  <c r="F17" i="140"/>
  <c r="G17" i="140"/>
  <c r="H17" i="140"/>
  <c r="I17" i="140"/>
  <c r="F18" i="140"/>
  <c r="G18" i="140"/>
  <c r="H18" i="140"/>
  <c r="I18" i="140"/>
  <c r="F19" i="140"/>
  <c r="G19" i="140"/>
  <c r="T28" i="4" s="1"/>
  <c r="H19" i="140"/>
  <c r="I19" i="140"/>
  <c r="F20" i="140"/>
  <c r="G20" i="140"/>
  <c r="H20" i="140"/>
  <c r="I20" i="140"/>
  <c r="F21" i="140"/>
  <c r="G21" i="140"/>
  <c r="H21" i="140"/>
  <c r="I21" i="140"/>
  <c r="F22" i="140"/>
  <c r="I31" i="4" s="1"/>
  <c r="G22" i="140"/>
  <c r="H22" i="140"/>
  <c r="I22" i="140"/>
  <c r="F23" i="140"/>
  <c r="G23" i="140"/>
  <c r="H23" i="140"/>
  <c r="I23" i="140"/>
  <c r="F24" i="140"/>
  <c r="G24" i="140"/>
  <c r="H24" i="140"/>
  <c r="I24" i="140"/>
  <c r="F25" i="140"/>
  <c r="G25" i="140"/>
  <c r="H25" i="140"/>
  <c r="I25" i="140"/>
  <c r="F26" i="140"/>
  <c r="G26" i="140"/>
  <c r="H26" i="140"/>
  <c r="I26" i="140"/>
  <c r="F27" i="140"/>
  <c r="G27" i="140"/>
  <c r="T37" i="4" s="1"/>
  <c r="H27" i="140"/>
  <c r="I27" i="140"/>
  <c r="F28" i="140"/>
  <c r="G28" i="140"/>
  <c r="H28" i="140"/>
  <c r="I28" i="140"/>
  <c r="F29" i="140"/>
  <c r="G29" i="140"/>
  <c r="H29" i="140"/>
  <c r="I29" i="140"/>
  <c r="F30" i="140"/>
  <c r="I40" i="4" s="1"/>
  <c r="G30" i="140"/>
  <c r="H30" i="140"/>
  <c r="I30" i="140"/>
  <c r="F31" i="140"/>
  <c r="G31" i="140"/>
  <c r="H31" i="140"/>
  <c r="I31" i="140"/>
  <c r="F32" i="140"/>
  <c r="I42" i="4" s="1"/>
  <c r="G32" i="140"/>
  <c r="H32" i="140"/>
  <c r="I32" i="140"/>
  <c r="F33" i="140"/>
  <c r="G33" i="140"/>
  <c r="H33" i="140"/>
  <c r="I33" i="140"/>
  <c r="F34" i="140"/>
  <c r="I44" i="4" s="1"/>
  <c r="G34" i="140"/>
  <c r="H34" i="140"/>
  <c r="I34" i="140"/>
  <c r="F35" i="140"/>
  <c r="G35" i="140"/>
  <c r="T45" i="4" s="1"/>
  <c r="H35" i="140"/>
  <c r="I35" i="140"/>
  <c r="F36" i="140"/>
  <c r="G36" i="140"/>
  <c r="H36" i="140"/>
  <c r="I36" i="140"/>
  <c r="F37" i="140"/>
  <c r="G37" i="140"/>
  <c r="H37" i="140"/>
  <c r="I37" i="140"/>
  <c r="F38" i="140"/>
  <c r="I49" i="4" s="1"/>
  <c r="G38" i="140"/>
  <c r="H38" i="140"/>
  <c r="I38" i="140"/>
  <c r="F39" i="140"/>
  <c r="G39" i="140"/>
  <c r="H39" i="140"/>
  <c r="I39" i="140"/>
  <c r="F40" i="140"/>
  <c r="I51" i="4" s="1"/>
  <c r="G40" i="140"/>
  <c r="H40" i="140"/>
  <c r="I40" i="140"/>
  <c r="F41" i="140"/>
  <c r="G41" i="140"/>
  <c r="H41" i="140"/>
  <c r="I41" i="140"/>
  <c r="F42" i="140"/>
  <c r="G42" i="140"/>
  <c r="H42" i="140"/>
  <c r="I42" i="140"/>
  <c r="F43" i="140"/>
  <c r="G43" i="140"/>
  <c r="T54" i="4" s="1"/>
  <c r="H43" i="140"/>
  <c r="I43" i="140"/>
  <c r="F44" i="140"/>
  <c r="G44" i="140"/>
  <c r="H44" i="140"/>
  <c r="I44" i="140"/>
  <c r="F45" i="140"/>
  <c r="G45" i="140"/>
  <c r="H45" i="140"/>
  <c r="I45" i="140"/>
  <c r="F46" i="140"/>
  <c r="I59" i="4" s="1"/>
  <c r="G46" i="140"/>
  <c r="H46" i="140"/>
  <c r="I46" i="140"/>
  <c r="F47" i="140"/>
  <c r="G47" i="140"/>
  <c r="H47" i="140"/>
  <c r="I47" i="140"/>
  <c r="F48" i="140"/>
  <c r="I61" i="4" s="1"/>
  <c r="G48" i="140"/>
  <c r="H48" i="140"/>
  <c r="I48" i="140"/>
  <c r="F49" i="140"/>
  <c r="G49" i="140"/>
  <c r="H49" i="140"/>
  <c r="I49" i="140"/>
  <c r="F50" i="140"/>
  <c r="I64" i="4" s="1"/>
  <c r="G50" i="140"/>
  <c r="H50" i="140"/>
  <c r="I50" i="140"/>
  <c r="F51" i="140"/>
  <c r="G51" i="140"/>
  <c r="T65" i="4" s="1"/>
  <c r="H51" i="140"/>
  <c r="I51" i="140"/>
  <c r="F52" i="140"/>
  <c r="G52" i="140"/>
  <c r="H52" i="140"/>
  <c r="I52" i="140"/>
  <c r="F53" i="140"/>
  <c r="G53" i="140"/>
  <c r="H53" i="140"/>
  <c r="I53" i="140"/>
  <c r="F54" i="140"/>
  <c r="I68" i="4" s="1"/>
  <c r="G54" i="140"/>
  <c r="H54" i="140"/>
  <c r="I54" i="140"/>
  <c r="F55" i="140"/>
  <c r="G55" i="140"/>
  <c r="H55" i="140"/>
  <c r="I55" i="140"/>
  <c r="F56" i="140"/>
  <c r="I70" i="4" s="1"/>
  <c r="G56" i="140"/>
  <c r="H56" i="140"/>
  <c r="I56" i="140"/>
  <c r="F57" i="140"/>
  <c r="G57" i="140"/>
  <c r="H57" i="140"/>
  <c r="I57" i="140"/>
  <c r="F58" i="140"/>
  <c r="I72" i="4" s="1"/>
  <c r="G58" i="140"/>
  <c r="H58" i="140"/>
  <c r="I58" i="140"/>
  <c r="F59" i="140"/>
  <c r="G59" i="140"/>
  <c r="T73" i="4" s="1"/>
  <c r="H59" i="140"/>
  <c r="I59" i="140"/>
  <c r="F60" i="140"/>
  <c r="G60" i="140"/>
  <c r="H60" i="140"/>
  <c r="I60" i="140"/>
  <c r="F61" i="140"/>
  <c r="G61" i="140"/>
  <c r="H61" i="140"/>
  <c r="I61" i="140"/>
  <c r="F62" i="140"/>
  <c r="I76" i="4" s="1"/>
  <c r="G62" i="140"/>
  <c r="H62" i="140"/>
  <c r="I62" i="140"/>
  <c r="F63" i="140"/>
  <c r="G63" i="140"/>
  <c r="H63" i="140"/>
  <c r="I63" i="140"/>
  <c r="F64" i="140"/>
  <c r="I80" i="4" s="1"/>
  <c r="G64" i="140"/>
  <c r="H64" i="140"/>
  <c r="I64" i="140"/>
  <c r="F65" i="140"/>
  <c r="G65" i="140"/>
  <c r="H65" i="140"/>
  <c r="I65" i="140"/>
  <c r="F66" i="140"/>
  <c r="I85" i="4" s="1"/>
  <c r="G66" i="140"/>
  <c r="H66" i="140"/>
  <c r="I66" i="140"/>
  <c r="F67" i="140"/>
  <c r="G67" i="140"/>
  <c r="T86" i="4" s="1"/>
  <c r="H67" i="140"/>
  <c r="I67" i="140"/>
  <c r="F68" i="140"/>
  <c r="G68" i="140"/>
  <c r="H68" i="140"/>
  <c r="I68" i="140"/>
  <c r="F69" i="140"/>
  <c r="G69" i="140"/>
  <c r="H69" i="140"/>
  <c r="I69" i="140"/>
  <c r="F70" i="140"/>
  <c r="I89" i="4" s="1"/>
  <c r="G70" i="140"/>
  <c r="H70" i="140"/>
  <c r="I70" i="140"/>
  <c r="F71" i="140"/>
  <c r="G71" i="140"/>
  <c r="H71" i="140"/>
  <c r="I71" i="140"/>
  <c r="F72" i="140"/>
  <c r="G72" i="140"/>
  <c r="H72" i="140"/>
  <c r="I72" i="140"/>
  <c r="F73" i="140"/>
  <c r="G73" i="140"/>
  <c r="H73" i="140"/>
  <c r="I73" i="140"/>
  <c r="F74" i="140"/>
  <c r="G74" i="140"/>
  <c r="H74" i="140"/>
  <c r="I74" i="140"/>
  <c r="F75" i="140"/>
  <c r="G75" i="140"/>
  <c r="T97" i="4" s="1"/>
  <c r="H75" i="140"/>
  <c r="I75" i="140"/>
  <c r="F76" i="140"/>
  <c r="G76" i="140"/>
  <c r="H76" i="140"/>
  <c r="I76" i="140"/>
  <c r="F77" i="140"/>
  <c r="I99" i="4" s="1"/>
  <c r="G77" i="140"/>
  <c r="H77" i="140"/>
  <c r="I77" i="140"/>
  <c r="F78" i="140"/>
  <c r="I100" i="4" s="1"/>
  <c r="G78" i="140"/>
  <c r="H78" i="140"/>
  <c r="I78" i="140"/>
  <c r="F79" i="140"/>
  <c r="G79" i="140"/>
  <c r="H79" i="140"/>
  <c r="I79" i="140"/>
  <c r="F80" i="140"/>
  <c r="G80" i="140"/>
  <c r="H80" i="140"/>
  <c r="I80" i="140"/>
  <c r="F81" i="140"/>
  <c r="G81" i="140"/>
  <c r="H81" i="140"/>
  <c r="I81" i="140"/>
  <c r="F82" i="140"/>
  <c r="I104" i="4" s="1"/>
  <c r="G82" i="140"/>
  <c r="H82" i="140"/>
  <c r="I82" i="140"/>
  <c r="F83" i="140"/>
  <c r="G83" i="140"/>
  <c r="T105" i="4" s="1"/>
  <c r="H83" i="140"/>
  <c r="I83" i="140"/>
  <c r="F84" i="140"/>
  <c r="G84" i="140"/>
  <c r="H84" i="140"/>
  <c r="I84" i="140"/>
  <c r="F85" i="140"/>
  <c r="G85" i="140"/>
  <c r="H85" i="140"/>
  <c r="I85" i="140"/>
  <c r="F86" i="140"/>
  <c r="G86" i="140"/>
  <c r="H86" i="140"/>
  <c r="I86" i="140"/>
  <c r="F87" i="140"/>
  <c r="G87" i="140"/>
  <c r="H87" i="140"/>
  <c r="I87" i="140"/>
  <c r="F88" i="140"/>
  <c r="G88" i="140"/>
  <c r="H88" i="140"/>
  <c r="I88" i="140"/>
  <c r="F89" i="140"/>
  <c r="G89" i="140"/>
  <c r="H89" i="140"/>
  <c r="I89" i="140"/>
  <c r="F90" i="140"/>
  <c r="G90" i="140"/>
  <c r="H90" i="140"/>
  <c r="I90" i="140"/>
  <c r="F91" i="140"/>
  <c r="G91" i="140"/>
  <c r="T113" i="4" s="1"/>
  <c r="H91" i="140"/>
  <c r="I91" i="140"/>
  <c r="F92" i="140"/>
  <c r="G92" i="140"/>
  <c r="H92" i="140"/>
  <c r="I92" i="140"/>
  <c r="F93" i="140"/>
  <c r="G93" i="140"/>
  <c r="H93" i="140"/>
  <c r="I93" i="140"/>
  <c r="F94" i="140"/>
  <c r="G94" i="140"/>
  <c r="H94" i="140"/>
  <c r="I94" i="140"/>
  <c r="F95" i="140"/>
  <c r="G95" i="140"/>
  <c r="H95" i="140"/>
  <c r="I95" i="140"/>
  <c r="F96" i="140"/>
  <c r="G96" i="140"/>
  <c r="H96" i="140"/>
  <c r="I96" i="140"/>
  <c r="F97" i="140"/>
  <c r="G97" i="140"/>
  <c r="H97" i="140"/>
  <c r="I97" i="140"/>
  <c r="F98" i="140"/>
  <c r="G98" i="140"/>
  <c r="H98" i="140"/>
  <c r="I98" i="140"/>
  <c r="F99" i="140"/>
  <c r="G99" i="140"/>
  <c r="T124" i="4" s="1"/>
  <c r="H99" i="140"/>
  <c r="I99" i="140"/>
  <c r="F100" i="140"/>
  <c r="G100" i="140"/>
  <c r="H100" i="140"/>
  <c r="I100" i="140"/>
  <c r="F101" i="140"/>
  <c r="G101" i="140"/>
  <c r="H101" i="140"/>
  <c r="I101" i="140"/>
  <c r="F102" i="140"/>
  <c r="G102" i="140"/>
  <c r="H102" i="140"/>
  <c r="I102" i="140"/>
  <c r="F103" i="140"/>
  <c r="G103" i="140"/>
  <c r="H103" i="140"/>
  <c r="I103" i="140"/>
  <c r="F104" i="140"/>
  <c r="G104" i="140"/>
  <c r="H104" i="140"/>
  <c r="I104" i="140"/>
  <c r="F105" i="140"/>
  <c r="G105" i="140"/>
  <c r="H105" i="140"/>
  <c r="I105" i="140"/>
  <c r="F106" i="140"/>
  <c r="G106" i="140"/>
  <c r="H106" i="140"/>
  <c r="I106" i="140"/>
  <c r="F107" i="140"/>
  <c r="G107" i="140"/>
  <c r="T133" i="4" s="1"/>
  <c r="H107" i="140"/>
  <c r="I107" i="140"/>
  <c r="F108" i="140"/>
  <c r="G108" i="140"/>
  <c r="H108" i="140"/>
  <c r="I108" i="140"/>
  <c r="F109" i="140"/>
  <c r="G109" i="140"/>
  <c r="H109" i="140"/>
  <c r="I109" i="140"/>
  <c r="F110" i="140"/>
  <c r="G110" i="140"/>
  <c r="H110" i="140"/>
  <c r="I110" i="140"/>
  <c r="F111" i="140"/>
  <c r="G111" i="140"/>
  <c r="H111" i="140"/>
  <c r="I111" i="140"/>
  <c r="F112" i="140"/>
  <c r="G112" i="140"/>
  <c r="H112" i="140"/>
  <c r="I112" i="140"/>
  <c r="F113" i="140"/>
  <c r="G113" i="140"/>
  <c r="H113" i="140"/>
  <c r="I113" i="140"/>
  <c r="F114" i="140"/>
  <c r="G114" i="140"/>
  <c r="H114" i="140"/>
  <c r="I114" i="140"/>
  <c r="F115" i="140"/>
  <c r="G115" i="140"/>
  <c r="T142" i="4" s="1"/>
  <c r="H115" i="140"/>
  <c r="I115" i="140"/>
  <c r="F116" i="140"/>
  <c r="G116" i="140"/>
  <c r="H116" i="140"/>
  <c r="I116" i="140"/>
  <c r="F117" i="140"/>
  <c r="G117" i="140"/>
  <c r="T144" i="4" s="1"/>
  <c r="H117" i="140"/>
  <c r="I117" i="140"/>
  <c r="F118" i="140"/>
  <c r="I145" i="4" s="1"/>
  <c r="G118" i="140"/>
  <c r="H118" i="140"/>
  <c r="I118" i="140"/>
  <c r="F119" i="140"/>
  <c r="G119" i="140"/>
  <c r="H119" i="140"/>
  <c r="I119" i="140"/>
  <c r="F120" i="140"/>
  <c r="G120" i="140"/>
  <c r="H120" i="140"/>
  <c r="I120" i="140"/>
  <c r="F121" i="140"/>
  <c r="G121" i="140"/>
  <c r="H121" i="140"/>
  <c r="I121" i="140"/>
  <c r="F122" i="140"/>
  <c r="G122" i="140"/>
  <c r="H122" i="140"/>
  <c r="I122" i="140"/>
  <c r="F123" i="140"/>
  <c r="G123" i="140"/>
  <c r="T152" i="4" s="1"/>
  <c r="H123" i="140"/>
  <c r="I123" i="140"/>
  <c r="F124" i="140"/>
  <c r="G124" i="140"/>
  <c r="H124" i="140"/>
  <c r="I124" i="140"/>
  <c r="F125" i="140"/>
  <c r="G125" i="140"/>
  <c r="H125" i="140"/>
  <c r="I125" i="140"/>
  <c r="F126" i="140"/>
  <c r="G126" i="140"/>
  <c r="H126" i="140"/>
  <c r="I126" i="140"/>
  <c r="F127" i="140"/>
  <c r="G127" i="140"/>
  <c r="H127" i="140"/>
  <c r="I127" i="140"/>
  <c r="F128" i="140"/>
  <c r="G128" i="140"/>
  <c r="H128" i="140"/>
  <c r="I128" i="140"/>
  <c r="F129" i="140"/>
  <c r="G129" i="140"/>
  <c r="H129" i="140"/>
  <c r="I129" i="140"/>
  <c r="F130" i="140"/>
  <c r="G130" i="140"/>
  <c r="H130" i="140"/>
  <c r="I130" i="140"/>
  <c r="F131" i="140"/>
  <c r="G131" i="140"/>
  <c r="T184" i="4" s="1"/>
  <c r="H131" i="140"/>
  <c r="I131" i="140"/>
  <c r="F132" i="140"/>
  <c r="I185" i="4" s="1"/>
  <c r="G132" i="140"/>
  <c r="H132" i="140"/>
  <c r="I132" i="140"/>
  <c r="F133" i="140"/>
  <c r="G133" i="140"/>
  <c r="T186" i="4" s="1"/>
  <c r="H133" i="140"/>
  <c r="I133" i="140"/>
  <c r="F134" i="140"/>
  <c r="G134" i="140"/>
  <c r="H134" i="140"/>
  <c r="I134" i="140"/>
  <c r="F135" i="140"/>
  <c r="G135" i="140"/>
  <c r="H135" i="140"/>
  <c r="I135" i="140"/>
  <c r="F136" i="140"/>
  <c r="I189" i="4" s="1"/>
  <c r="G136" i="140"/>
  <c r="H136" i="140"/>
  <c r="I136" i="140"/>
  <c r="F137" i="140"/>
  <c r="G137" i="140"/>
  <c r="H137" i="140"/>
  <c r="I137" i="140"/>
  <c r="F138" i="140"/>
  <c r="I197" i="4" s="1"/>
  <c r="G138" i="140"/>
  <c r="H138" i="140"/>
  <c r="I138" i="140"/>
  <c r="F139" i="140"/>
  <c r="I198" i="4" s="1"/>
  <c r="G139" i="140"/>
  <c r="H139" i="140"/>
  <c r="I139" i="140"/>
  <c r="F140" i="140"/>
  <c r="G140" i="140"/>
  <c r="H140" i="140"/>
  <c r="I140" i="140"/>
  <c r="F141" i="140"/>
  <c r="G141" i="140"/>
  <c r="T204" i="4" s="1"/>
  <c r="H141" i="140"/>
  <c r="I141" i="140"/>
  <c r="F142" i="140"/>
  <c r="G142" i="140"/>
  <c r="H142" i="140"/>
  <c r="I142" i="140"/>
  <c r="F143" i="140"/>
  <c r="G143" i="140"/>
  <c r="H143" i="140"/>
  <c r="I143" i="140"/>
  <c r="F144" i="140"/>
  <c r="G144" i="140"/>
  <c r="H144" i="140"/>
  <c r="I144" i="140"/>
  <c r="G3" i="140"/>
  <c r="H3" i="140"/>
  <c r="I3" i="140"/>
  <c r="F3" i="140"/>
  <c r="I10" i="4" s="1"/>
  <c r="R16" i="39"/>
  <c r="R79" i="39"/>
  <c r="R91" i="39"/>
  <c r="R126" i="39"/>
  <c r="R193" i="39"/>
  <c r="R210" i="39"/>
  <c r="R217" i="39"/>
  <c r="R218" i="39"/>
  <c r="R219" i="39"/>
  <c r="R220" i="39"/>
  <c r="R221" i="39"/>
  <c r="R235" i="39"/>
  <c r="R257" i="39"/>
  <c r="R276" i="39"/>
  <c r="R278" i="39"/>
  <c r="R290" i="39"/>
  <c r="R291" i="39"/>
  <c r="R292" i="39"/>
  <c r="R293" i="39"/>
  <c r="R295" i="39"/>
  <c r="O152" i="39"/>
  <c r="O157" i="39"/>
  <c r="O158" i="39"/>
  <c r="O161" i="39"/>
  <c r="O162" i="39"/>
  <c r="O194" i="39"/>
  <c r="O199" i="39"/>
  <c r="O222" i="39"/>
  <c r="O223" i="39"/>
  <c r="O234" i="39"/>
  <c r="O235" i="39"/>
  <c r="O254" i="39"/>
  <c r="O258" i="39"/>
  <c r="O259" i="39"/>
  <c r="O260" i="39"/>
  <c r="O276" i="39"/>
  <c r="O278" i="39"/>
  <c r="O290" i="39"/>
  <c r="O291" i="39"/>
  <c r="O292" i="39"/>
  <c r="O293" i="39"/>
  <c r="O295" i="39"/>
  <c r="M152" i="39"/>
  <c r="M157" i="39"/>
  <c r="M158" i="39"/>
  <c r="M161" i="39"/>
  <c r="M162" i="39"/>
  <c r="M164" i="39"/>
  <c r="M168" i="39"/>
  <c r="M194" i="39"/>
  <c r="M199" i="39"/>
  <c r="M222" i="39"/>
  <c r="M223" i="39"/>
  <c r="M234" i="39"/>
  <c r="M235" i="39"/>
  <c r="M254" i="39"/>
  <c r="M258" i="39"/>
  <c r="M259" i="39"/>
  <c r="M260" i="39"/>
  <c r="M276" i="39"/>
  <c r="M278" i="39"/>
  <c r="M290" i="39"/>
  <c r="M291" i="39"/>
  <c r="M292" i="39"/>
  <c r="M293" i="39"/>
  <c r="M295" i="39"/>
  <c r="K152" i="39"/>
  <c r="K157" i="39"/>
  <c r="K158" i="39"/>
  <c r="K161" i="39"/>
  <c r="K162" i="39"/>
  <c r="K164" i="39"/>
  <c r="K168" i="39"/>
  <c r="K194" i="39"/>
  <c r="K199" i="39"/>
  <c r="K222" i="39"/>
  <c r="K223" i="39"/>
  <c r="K234" i="39"/>
  <c r="K235" i="39"/>
  <c r="K254" i="39"/>
  <c r="K258" i="39"/>
  <c r="K259" i="39"/>
  <c r="K260" i="39"/>
  <c r="K276" i="39"/>
  <c r="K278" i="39"/>
  <c r="K290" i="39"/>
  <c r="K291" i="39"/>
  <c r="K292" i="39"/>
  <c r="K293" i="39"/>
  <c r="K295" i="39"/>
  <c r="AF35" i="54"/>
  <c r="EL4" i="139"/>
  <c r="EL3" i="139"/>
  <c r="AF33" i="54" s="1"/>
  <c r="AF32" i="54" s="1"/>
  <c r="AF9" i="54" s="1"/>
  <c r="ES4" i="139"/>
  <c r="ET4" i="139"/>
  <c r="EU4" i="139"/>
  <c r="ES5" i="139"/>
  <c r="ET5" i="139"/>
  <c r="EU5" i="139"/>
  <c r="ES6" i="139"/>
  <c r="ET6" i="139"/>
  <c r="EU6" i="139"/>
  <c r="ES7" i="139"/>
  <c r="ET7" i="139"/>
  <c r="EU7" i="139"/>
  <c r="ES8" i="139"/>
  <c r="ET8" i="139"/>
  <c r="EU8" i="139"/>
  <c r="ET3" i="139"/>
  <c r="EU3" i="139"/>
  <c r="ES3" i="139"/>
  <c r="AF39" i="37"/>
  <c r="AF58" i="37"/>
  <c r="AF49" i="37"/>
  <c r="AF45" i="37"/>
  <c r="AF22" i="37"/>
  <c r="AF17" i="37"/>
  <c r="HJ4" i="138"/>
  <c r="HK4" i="138"/>
  <c r="HL4" i="138"/>
  <c r="HJ5" i="138"/>
  <c r="HK5" i="138"/>
  <c r="HL5" i="138"/>
  <c r="HJ6" i="138"/>
  <c r="HK6" i="138"/>
  <c r="HL6" i="138"/>
  <c r="HJ7" i="138"/>
  <c r="HK7" i="138"/>
  <c r="HL7" i="138"/>
  <c r="HJ8" i="138"/>
  <c r="HK8" i="138"/>
  <c r="HL8" i="138"/>
  <c r="HJ9" i="138"/>
  <c r="HK9" i="138"/>
  <c r="HL9" i="138"/>
  <c r="HJ10" i="138"/>
  <c r="HK10" i="138"/>
  <c r="HL10" i="138"/>
  <c r="HJ11" i="138"/>
  <c r="HK11" i="138"/>
  <c r="HL11" i="138"/>
  <c r="HJ12" i="138"/>
  <c r="HK12" i="138"/>
  <c r="HL12" i="138"/>
  <c r="HJ13" i="138"/>
  <c r="HK13" i="138"/>
  <c r="HL13" i="138"/>
  <c r="HJ14" i="138"/>
  <c r="HK14" i="138"/>
  <c r="HL14" i="138"/>
  <c r="HJ15" i="138"/>
  <c r="HK15" i="138"/>
  <c r="HL15" i="138"/>
  <c r="HJ16" i="138"/>
  <c r="HK16" i="138"/>
  <c r="HL16" i="138"/>
  <c r="HJ17" i="138"/>
  <c r="HK17" i="138"/>
  <c r="HL17" i="138"/>
  <c r="HJ18" i="138"/>
  <c r="HK18" i="138"/>
  <c r="HL18" i="138"/>
  <c r="HJ19" i="138"/>
  <c r="HK19" i="138"/>
  <c r="HL19" i="138"/>
  <c r="HJ20" i="138"/>
  <c r="HK20" i="138"/>
  <c r="HL20" i="138"/>
  <c r="HJ21" i="138"/>
  <c r="HK21" i="138"/>
  <c r="HL21" i="138"/>
  <c r="HJ22" i="138"/>
  <c r="HK22" i="138"/>
  <c r="HL22" i="138"/>
  <c r="HJ23" i="138"/>
  <c r="HK23" i="138"/>
  <c r="HL23" i="138"/>
  <c r="HJ24" i="138"/>
  <c r="HK24" i="138"/>
  <c r="HL24" i="138"/>
  <c r="HJ25" i="138"/>
  <c r="HK25" i="138"/>
  <c r="HL25" i="138"/>
  <c r="HJ26" i="138"/>
  <c r="HK26" i="138"/>
  <c r="HL26" i="138"/>
  <c r="HJ27" i="138"/>
  <c r="HK27" i="138"/>
  <c r="HL27" i="138"/>
  <c r="HJ28" i="138"/>
  <c r="HK28" i="138"/>
  <c r="HL28" i="138"/>
  <c r="HJ29" i="138"/>
  <c r="HK29" i="138"/>
  <c r="HL29" i="138"/>
  <c r="HJ30" i="138"/>
  <c r="HK30" i="138"/>
  <c r="HL30" i="138"/>
  <c r="HJ31" i="138"/>
  <c r="HK31" i="138"/>
  <c r="HL31" i="138"/>
  <c r="HJ32" i="138"/>
  <c r="HK32" i="138"/>
  <c r="HL32" i="138"/>
  <c r="HJ33" i="138"/>
  <c r="HK33" i="138"/>
  <c r="HL33" i="138"/>
  <c r="HJ34" i="138"/>
  <c r="HK34" i="138"/>
  <c r="HL34" i="138"/>
  <c r="HJ35" i="138"/>
  <c r="HK35" i="138"/>
  <c r="HL35" i="138"/>
  <c r="HJ36" i="138"/>
  <c r="HK36" i="138"/>
  <c r="HL36" i="138"/>
  <c r="HJ37" i="138"/>
  <c r="HK37" i="138"/>
  <c r="HL37" i="138"/>
  <c r="HJ38" i="138"/>
  <c r="HK38" i="138"/>
  <c r="HL38" i="138"/>
  <c r="HJ39" i="138"/>
  <c r="HK39" i="138"/>
  <c r="HL39" i="138"/>
  <c r="HJ40" i="138"/>
  <c r="HK40" i="138"/>
  <c r="HL40" i="138"/>
  <c r="HJ41" i="138"/>
  <c r="HK41" i="138"/>
  <c r="HL41" i="138"/>
  <c r="HJ42" i="138"/>
  <c r="HK42" i="138"/>
  <c r="HL42" i="138"/>
  <c r="HJ43" i="138"/>
  <c r="HK43" i="138"/>
  <c r="HL43" i="138"/>
  <c r="HJ44" i="138"/>
  <c r="HK44" i="138"/>
  <c r="HL44" i="138"/>
  <c r="HJ45" i="138"/>
  <c r="HK45" i="138"/>
  <c r="HL45" i="138"/>
  <c r="HJ46" i="138"/>
  <c r="HK46" i="138"/>
  <c r="HL46" i="138"/>
  <c r="HJ47" i="138"/>
  <c r="HK47" i="138"/>
  <c r="HL47" i="138"/>
  <c r="HJ48" i="138"/>
  <c r="HK48" i="138"/>
  <c r="HL48" i="138"/>
  <c r="HJ49" i="138"/>
  <c r="HK49" i="138"/>
  <c r="HL49" i="138"/>
  <c r="HJ50" i="138"/>
  <c r="HK50" i="138"/>
  <c r="HL50" i="138"/>
  <c r="HJ51" i="138"/>
  <c r="HK51" i="138"/>
  <c r="HL51" i="138"/>
  <c r="HJ52" i="138"/>
  <c r="HK52" i="138"/>
  <c r="HL52" i="138"/>
  <c r="HJ53" i="138"/>
  <c r="HK53" i="138"/>
  <c r="HL53" i="138"/>
  <c r="HJ54" i="138"/>
  <c r="HK54" i="138"/>
  <c r="HL54" i="138"/>
  <c r="HJ55" i="138"/>
  <c r="HK55" i="138"/>
  <c r="HL55" i="138"/>
  <c r="HJ56" i="138"/>
  <c r="HK56" i="138"/>
  <c r="HL56" i="138"/>
  <c r="HK3" i="138"/>
  <c r="HL3" i="138"/>
  <c r="HJ3" i="138"/>
  <c r="HA4" i="138"/>
  <c r="HA5" i="138"/>
  <c r="AF20" i="37" s="1"/>
  <c r="HA6" i="138"/>
  <c r="AF21" i="37" s="1"/>
  <c r="HA7" i="138"/>
  <c r="AF18" i="37" s="1"/>
  <c r="HA8" i="138"/>
  <c r="AF23" i="37" s="1"/>
  <c r="HA9" i="138"/>
  <c r="HA10" i="138"/>
  <c r="AF36" i="37" s="1"/>
  <c r="AF35" i="37" s="1"/>
  <c r="HA11" i="138"/>
  <c r="AF44" i="37" s="1"/>
  <c r="HA12" i="138"/>
  <c r="HA13" i="138"/>
  <c r="HA14" i="138"/>
  <c r="AF51" i="37" s="1"/>
  <c r="HA15" i="138"/>
  <c r="AF52" i="37" s="1"/>
  <c r="HA16" i="138"/>
  <c r="AF53" i="37" s="1"/>
  <c r="HA17" i="138"/>
  <c r="AF54" i="37" s="1"/>
  <c r="HA18" i="138"/>
  <c r="AF55" i="37" s="1"/>
  <c r="HA19" i="138"/>
  <c r="AF57" i="37" s="1"/>
  <c r="HA20" i="138"/>
  <c r="HA3" i="138"/>
  <c r="AF35" i="35"/>
  <c r="AF57" i="35"/>
  <c r="AF29" i="35"/>
  <c r="AF26" i="35"/>
  <c r="HB4" i="137"/>
  <c r="HC4" i="137"/>
  <c r="HD4" i="137"/>
  <c r="HB5" i="137"/>
  <c r="HC5" i="137"/>
  <c r="HD5" i="137"/>
  <c r="HB6" i="137"/>
  <c r="HC6" i="137"/>
  <c r="HD6" i="137"/>
  <c r="HB7" i="137"/>
  <c r="HC7" i="137"/>
  <c r="HD7" i="137"/>
  <c r="HB8" i="137"/>
  <c r="HC8" i="137"/>
  <c r="HD8" i="137"/>
  <c r="HB9" i="137"/>
  <c r="HC9" i="137"/>
  <c r="HD9" i="137"/>
  <c r="HB10" i="137"/>
  <c r="HC10" i="137"/>
  <c r="HD10" i="137"/>
  <c r="HB11" i="137"/>
  <c r="HC11" i="137"/>
  <c r="HD11" i="137"/>
  <c r="HB12" i="137"/>
  <c r="HC12" i="137"/>
  <c r="HD12" i="137"/>
  <c r="HB13" i="137"/>
  <c r="HC13" i="137"/>
  <c r="HD13" i="137"/>
  <c r="HB14" i="137"/>
  <c r="HC14" i="137"/>
  <c r="HD14" i="137"/>
  <c r="HB15" i="137"/>
  <c r="HC15" i="137"/>
  <c r="HD15" i="137"/>
  <c r="HB16" i="137"/>
  <c r="HC16" i="137"/>
  <c r="HD16" i="137"/>
  <c r="HB17" i="137"/>
  <c r="HC17" i="137"/>
  <c r="HD17" i="137"/>
  <c r="HB18" i="137"/>
  <c r="HC18" i="137"/>
  <c r="HD18" i="137"/>
  <c r="HB19" i="137"/>
  <c r="HC19" i="137"/>
  <c r="HD19" i="137"/>
  <c r="HB20" i="137"/>
  <c r="HC20" i="137"/>
  <c r="HD20" i="137"/>
  <c r="HB21" i="137"/>
  <c r="HC21" i="137"/>
  <c r="HD21" i="137"/>
  <c r="HB22" i="137"/>
  <c r="HC22" i="137"/>
  <c r="HD22" i="137"/>
  <c r="HB23" i="137"/>
  <c r="HC23" i="137"/>
  <c r="HD23" i="137"/>
  <c r="HB24" i="137"/>
  <c r="HC24" i="137"/>
  <c r="HD24" i="137"/>
  <c r="HB25" i="137"/>
  <c r="HC25" i="137"/>
  <c r="HD25" i="137"/>
  <c r="HB26" i="137"/>
  <c r="HC26" i="137"/>
  <c r="HD26" i="137"/>
  <c r="HB27" i="137"/>
  <c r="HC27" i="137"/>
  <c r="HD27" i="137"/>
  <c r="HB28" i="137"/>
  <c r="HC28" i="137"/>
  <c r="HD28" i="137"/>
  <c r="HB29" i="137"/>
  <c r="HC29" i="137"/>
  <c r="HD29" i="137"/>
  <c r="HB30" i="137"/>
  <c r="HC30" i="137"/>
  <c r="HD30" i="137"/>
  <c r="HB31" i="137"/>
  <c r="HC31" i="137"/>
  <c r="HD31" i="137"/>
  <c r="HB32" i="137"/>
  <c r="HC32" i="137"/>
  <c r="HD32" i="137"/>
  <c r="HB33" i="137"/>
  <c r="HC33" i="137"/>
  <c r="HD33" i="137"/>
  <c r="HB34" i="137"/>
  <c r="HC34" i="137"/>
  <c r="HD34" i="137"/>
  <c r="HB35" i="137"/>
  <c r="HC35" i="137"/>
  <c r="HD35" i="137"/>
  <c r="HB36" i="137"/>
  <c r="HC36" i="137"/>
  <c r="HD36" i="137"/>
  <c r="HB37" i="137"/>
  <c r="HC37" i="137"/>
  <c r="HD37" i="137"/>
  <c r="HB38" i="137"/>
  <c r="HC38" i="137"/>
  <c r="HD38" i="137"/>
  <c r="HB39" i="137"/>
  <c r="HC39" i="137"/>
  <c r="HD39" i="137"/>
  <c r="HB40" i="137"/>
  <c r="HC40" i="137"/>
  <c r="HD40" i="137"/>
  <c r="HB41" i="137"/>
  <c r="HC41" i="137"/>
  <c r="HD41" i="137"/>
  <c r="HB42" i="137"/>
  <c r="HC42" i="137"/>
  <c r="HD42" i="137"/>
  <c r="HB43" i="137"/>
  <c r="HC43" i="137"/>
  <c r="HD43" i="137"/>
  <c r="HB44" i="137"/>
  <c r="HC44" i="137"/>
  <c r="HD44" i="137"/>
  <c r="HB45" i="137"/>
  <c r="HC45" i="137"/>
  <c r="HD45" i="137"/>
  <c r="HB46" i="137"/>
  <c r="HC46" i="137"/>
  <c r="HD46" i="137"/>
  <c r="HB47" i="137"/>
  <c r="HC47" i="137"/>
  <c r="HD47" i="137"/>
  <c r="HB48" i="137"/>
  <c r="HC48" i="137"/>
  <c r="HD48" i="137"/>
  <c r="HB49" i="137"/>
  <c r="HC49" i="137"/>
  <c r="HD49" i="137"/>
  <c r="HB50" i="137"/>
  <c r="HC50" i="137"/>
  <c r="HD50" i="137"/>
  <c r="HB51" i="137"/>
  <c r="HC51" i="137"/>
  <c r="HD51" i="137"/>
  <c r="HB52" i="137"/>
  <c r="HC52" i="137"/>
  <c r="HD52" i="137"/>
  <c r="HB53" i="137"/>
  <c r="HC53" i="137"/>
  <c r="HD53" i="137"/>
  <c r="HB54" i="137"/>
  <c r="HC54" i="137"/>
  <c r="HD54" i="137"/>
  <c r="HB55" i="137"/>
  <c r="HC55" i="137"/>
  <c r="HD55" i="137"/>
  <c r="HB56" i="137"/>
  <c r="HC56" i="137"/>
  <c r="HD56" i="137"/>
  <c r="HB57" i="137"/>
  <c r="HC57" i="137"/>
  <c r="HD57" i="137"/>
  <c r="HB58" i="137"/>
  <c r="HC58" i="137"/>
  <c r="HD58" i="137"/>
  <c r="HC3" i="137"/>
  <c r="HD3" i="137"/>
  <c r="HB3" i="137"/>
  <c r="GS4" i="137"/>
  <c r="GS5" i="137"/>
  <c r="AF23" i="35" s="1"/>
  <c r="GS6" i="137"/>
  <c r="AF22" i="35" s="1"/>
  <c r="GS7" i="137"/>
  <c r="AF30" i="35" s="1"/>
  <c r="GS8" i="137"/>
  <c r="AF32" i="35" s="1"/>
  <c r="GS9" i="137"/>
  <c r="AF28" i="35" s="1"/>
  <c r="GS10" i="137"/>
  <c r="GS11" i="137"/>
  <c r="AF34" i="35" s="1"/>
  <c r="AF33" i="35" s="1"/>
  <c r="GS12" i="137"/>
  <c r="AF40" i="35" s="1"/>
  <c r="GS13" i="137"/>
  <c r="AF39" i="35" s="1"/>
  <c r="GS14" i="137"/>
  <c r="AF38" i="35" s="1"/>
  <c r="GS15" i="137"/>
  <c r="AF42" i="35" s="1"/>
  <c r="GS16" i="137"/>
  <c r="AF50" i="35" s="1"/>
  <c r="GS17" i="137"/>
  <c r="AF56" i="35" s="1"/>
  <c r="GS18" i="137"/>
  <c r="GS19" i="137"/>
  <c r="AF58" i="35" s="1"/>
  <c r="GS20" i="137"/>
  <c r="AF59" i="35" s="1"/>
  <c r="GS21" i="137"/>
  <c r="AF60" i="35" s="1"/>
  <c r="GS3" i="137"/>
  <c r="G63" i="4"/>
  <c r="FR165" i="136"/>
  <c r="FR166" i="136"/>
  <c r="FS165" i="136"/>
  <c r="FT165" i="136"/>
  <c r="FS166" i="136"/>
  <c r="FT166" i="136"/>
  <c r="FR163" i="136"/>
  <c r="FS163" i="136"/>
  <c r="FT163" i="136"/>
  <c r="F126" i="39"/>
  <c r="F91" i="39"/>
  <c r="I126" i="39"/>
  <c r="FR4" i="136"/>
  <c r="FS4" i="136"/>
  <c r="FT4" i="136"/>
  <c r="FR5" i="136"/>
  <c r="FS5" i="136"/>
  <c r="FT5" i="136"/>
  <c r="FR6" i="136"/>
  <c r="FS6" i="136"/>
  <c r="FT6" i="136"/>
  <c r="FR7" i="136"/>
  <c r="FS7" i="136"/>
  <c r="FT7" i="136"/>
  <c r="FR8" i="136"/>
  <c r="FS8" i="136"/>
  <c r="FT8" i="136"/>
  <c r="FR9" i="136"/>
  <c r="FS9" i="136"/>
  <c r="FT9" i="136"/>
  <c r="FR10" i="136"/>
  <c r="FS10" i="136"/>
  <c r="FT10" i="136"/>
  <c r="FR11" i="136"/>
  <c r="FS11" i="136"/>
  <c r="FT11" i="136"/>
  <c r="FR12" i="136"/>
  <c r="FS12" i="136"/>
  <c r="FT12" i="136"/>
  <c r="FR13" i="136"/>
  <c r="FS13" i="136"/>
  <c r="FT13" i="136"/>
  <c r="FR14" i="136"/>
  <c r="FS14" i="136"/>
  <c r="FT14" i="136"/>
  <c r="FR15" i="136"/>
  <c r="FS15" i="136"/>
  <c r="FT15" i="136"/>
  <c r="FR16" i="136"/>
  <c r="FS16" i="136"/>
  <c r="FT16" i="136"/>
  <c r="FR17" i="136"/>
  <c r="FS17" i="136"/>
  <c r="FT17" i="136"/>
  <c r="FR18" i="136"/>
  <c r="FS18" i="136"/>
  <c r="FT18" i="136"/>
  <c r="FR19" i="136"/>
  <c r="FS19" i="136"/>
  <c r="FT19" i="136"/>
  <c r="FR20" i="136"/>
  <c r="FS20" i="136"/>
  <c r="FT20" i="136"/>
  <c r="FR21" i="136"/>
  <c r="FS21" i="136"/>
  <c r="FT21" i="136"/>
  <c r="FR22" i="136"/>
  <c r="FS22" i="136"/>
  <c r="FT22" i="136"/>
  <c r="FR23" i="136"/>
  <c r="FS23" i="136"/>
  <c r="FT23" i="136"/>
  <c r="FR24" i="136"/>
  <c r="FS24" i="136"/>
  <c r="FT24" i="136"/>
  <c r="FR25" i="136"/>
  <c r="FS25" i="136"/>
  <c r="FT25" i="136"/>
  <c r="FR26" i="136"/>
  <c r="FS26" i="136"/>
  <c r="FT26" i="136"/>
  <c r="FR27" i="136"/>
  <c r="FS27" i="136"/>
  <c r="FT27" i="136"/>
  <c r="FR28" i="136"/>
  <c r="FS28" i="136"/>
  <c r="FT28" i="136"/>
  <c r="FR29" i="136"/>
  <c r="FS29" i="136"/>
  <c r="FT29" i="136"/>
  <c r="FR30" i="136"/>
  <c r="FS30" i="136"/>
  <c r="FT30" i="136"/>
  <c r="FR31" i="136"/>
  <c r="FS31" i="136"/>
  <c r="FT31" i="136"/>
  <c r="FR32" i="136"/>
  <c r="FS32" i="136"/>
  <c r="FT32" i="136"/>
  <c r="FR33" i="136"/>
  <c r="FS33" i="136"/>
  <c r="FT33" i="136"/>
  <c r="FR34" i="136"/>
  <c r="FS34" i="136"/>
  <c r="FT34" i="136"/>
  <c r="FR35" i="136"/>
  <c r="FS35" i="136"/>
  <c r="FT35" i="136"/>
  <c r="FR36" i="136"/>
  <c r="FS36" i="136"/>
  <c r="FT36" i="136"/>
  <c r="FR37" i="136"/>
  <c r="FS37" i="136"/>
  <c r="FT37" i="136"/>
  <c r="FR38" i="136"/>
  <c r="FS38" i="136"/>
  <c r="FT38" i="136"/>
  <c r="FR39" i="136"/>
  <c r="FS39" i="136"/>
  <c r="FT39" i="136"/>
  <c r="FR40" i="136"/>
  <c r="FS40" i="136"/>
  <c r="FT40" i="136"/>
  <c r="FR41" i="136"/>
  <c r="FS41" i="136"/>
  <c r="FT41" i="136"/>
  <c r="FR42" i="136"/>
  <c r="FS42" i="136"/>
  <c r="FT42" i="136"/>
  <c r="FR43" i="136"/>
  <c r="FS43" i="136"/>
  <c r="FT43" i="136"/>
  <c r="FR44" i="136"/>
  <c r="FS44" i="136"/>
  <c r="FT44" i="136"/>
  <c r="FR45" i="136"/>
  <c r="FS45" i="136"/>
  <c r="FT45" i="136"/>
  <c r="FR46" i="136"/>
  <c r="FS46" i="136"/>
  <c r="FT46" i="136"/>
  <c r="FR47" i="136"/>
  <c r="FS47" i="136"/>
  <c r="FT47" i="136"/>
  <c r="FR48" i="136"/>
  <c r="FS48" i="136"/>
  <c r="FT48" i="136"/>
  <c r="FR49" i="136"/>
  <c r="FS49" i="136"/>
  <c r="FT49" i="136"/>
  <c r="FR50" i="136"/>
  <c r="FS50" i="136"/>
  <c r="FT50" i="136"/>
  <c r="FR51" i="136"/>
  <c r="FS51" i="136"/>
  <c r="FT51" i="136"/>
  <c r="FR52" i="136"/>
  <c r="FS52" i="136"/>
  <c r="FT52" i="136"/>
  <c r="FR53" i="136"/>
  <c r="FS53" i="136"/>
  <c r="FT53" i="136"/>
  <c r="FR54" i="136"/>
  <c r="FS54" i="136"/>
  <c r="FT54" i="136"/>
  <c r="FR55" i="136"/>
  <c r="FS55" i="136"/>
  <c r="FT55" i="136"/>
  <c r="FR56" i="136"/>
  <c r="FS56" i="136"/>
  <c r="FT56" i="136"/>
  <c r="FR57" i="136"/>
  <c r="FS57" i="136"/>
  <c r="FT57" i="136"/>
  <c r="FR58" i="136"/>
  <c r="FS58" i="136"/>
  <c r="FT58" i="136"/>
  <c r="FR59" i="136"/>
  <c r="FS59" i="136"/>
  <c r="FT59" i="136"/>
  <c r="FR60" i="136"/>
  <c r="FS60" i="136"/>
  <c r="FT60" i="136"/>
  <c r="FR61" i="136"/>
  <c r="FS61" i="136"/>
  <c r="FT61" i="136"/>
  <c r="FR62" i="136"/>
  <c r="FS62" i="136"/>
  <c r="FT62" i="136"/>
  <c r="FR63" i="136"/>
  <c r="FS63" i="136"/>
  <c r="FT63" i="136"/>
  <c r="FR64" i="136"/>
  <c r="FS64" i="136"/>
  <c r="FT64" i="136"/>
  <c r="FR65" i="136"/>
  <c r="FS65" i="136"/>
  <c r="FT65" i="136"/>
  <c r="L79" i="39" s="1"/>
  <c r="FR66" i="136"/>
  <c r="FS66" i="136"/>
  <c r="FT66" i="136"/>
  <c r="FR67" i="136"/>
  <c r="FS67" i="136"/>
  <c r="FT67" i="136"/>
  <c r="FR68" i="136"/>
  <c r="FS68" i="136"/>
  <c r="FT68" i="136"/>
  <c r="FR69" i="136"/>
  <c r="FS69" i="136"/>
  <c r="FT69" i="136"/>
  <c r="FR70" i="136"/>
  <c r="FS70" i="136"/>
  <c r="FT70" i="136"/>
  <c r="FR71" i="136"/>
  <c r="FS71" i="136"/>
  <c r="FT71" i="136"/>
  <c r="FR72" i="136"/>
  <c r="FS72" i="136"/>
  <c r="FT72" i="136"/>
  <c r="FR73" i="136"/>
  <c r="FS73" i="136"/>
  <c r="FT73" i="136"/>
  <c r="FR74" i="136"/>
  <c r="FS74" i="136"/>
  <c r="FT74" i="136"/>
  <c r="FR75" i="136"/>
  <c r="FS75" i="136"/>
  <c r="FT75" i="136"/>
  <c r="FR76" i="136"/>
  <c r="FS76" i="136"/>
  <c r="FT76" i="136"/>
  <c r="FR77" i="136"/>
  <c r="FS77" i="136"/>
  <c r="FT77" i="136"/>
  <c r="FR78" i="136"/>
  <c r="FS78" i="136"/>
  <c r="FT78" i="136"/>
  <c r="FR79" i="136"/>
  <c r="FS79" i="136"/>
  <c r="FT79" i="136"/>
  <c r="FR80" i="136"/>
  <c r="FS80" i="136"/>
  <c r="FT80" i="136"/>
  <c r="FR81" i="136"/>
  <c r="FS81" i="136"/>
  <c r="FT81" i="136"/>
  <c r="FR82" i="136"/>
  <c r="FS82" i="136"/>
  <c r="FT82" i="136"/>
  <c r="FR83" i="136"/>
  <c r="FS83" i="136"/>
  <c r="FT83" i="136"/>
  <c r="FR84" i="136"/>
  <c r="FS84" i="136"/>
  <c r="FT84" i="136"/>
  <c r="FR85" i="136"/>
  <c r="FS85" i="136"/>
  <c r="FT85" i="136"/>
  <c r="FR86" i="136"/>
  <c r="FS86" i="136"/>
  <c r="FT86" i="136"/>
  <c r="FR87" i="136"/>
  <c r="FS87" i="136"/>
  <c r="FT87" i="136"/>
  <c r="FR88" i="136"/>
  <c r="FS88" i="136"/>
  <c r="FT88" i="136"/>
  <c r="FR89" i="136"/>
  <c r="FS89" i="136"/>
  <c r="FT89" i="136"/>
  <c r="FR90" i="136"/>
  <c r="FS90" i="136"/>
  <c r="FT90" i="136"/>
  <c r="FR91" i="136"/>
  <c r="FS91" i="136"/>
  <c r="FT91" i="136"/>
  <c r="FR92" i="136"/>
  <c r="FS92" i="136"/>
  <c r="FT92" i="136"/>
  <c r="FR93" i="136"/>
  <c r="FS93" i="136"/>
  <c r="FT93" i="136"/>
  <c r="FR94" i="136"/>
  <c r="FS94" i="136"/>
  <c r="FT94" i="136"/>
  <c r="FR95" i="136"/>
  <c r="FS95" i="136"/>
  <c r="FT95" i="136"/>
  <c r="FR96" i="136"/>
  <c r="FS96" i="136"/>
  <c r="FT96" i="136"/>
  <c r="FR97" i="136"/>
  <c r="FS97" i="136"/>
  <c r="FT97" i="136"/>
  <c r="FR98" i="136"/>
  <c r="FS98" i="136"/>
  <c r="FT98" i="136"/>
  <c r="FR99" i="136"/>
  <c r="FS99" i="136"/>
  <c r="FT99" i="136"/>
  <c r="FR100" i="136"/>
  <c r="FS100" i="136"/>
  <c r="FT100" i="136"/>
  <c r="FR101" i="136"/>
  <c r="FS101" i="136"/>
  <c r="FT101" i="136"/>
  <c r="FR102" i="136"/>
  <c r="FS102" i="136"/>
  <c r="FT102" i="136"/>
  <c r="FR103" i="136"/>
  <c r="FS103" i="136"/>
  <c r="FT103" i="136"/>
  <c r="FR104" i="136"/>
  <c r="FS104" i="136"/>
  <c r="FT104" i="136"/>
  <c r="FR105" i="136"/>
  <c r="FS105" i="136"/>
  <c r="FT105" i="136"/>
  <c r="FR106" i="136"/>
  <c r="FS106" i="136"/>
  <c r="FT106" i="136"/>
  <c r="L126" i="39" s="1"/>
  <c r="FR107" i="136"/>
  <c r="FS107" i="136"/>
  <c r="FT107" i="136"/>
  <c r="FR108" i="136"/>
  <c r="FS108" i="136"/>
  <c r="FT108" i="136"/>
  <c r="FR109" i="136"/>
  <c r="FS109" i="136"/>
  <c r="FT109" i="136"/>
  <c r="FR110" i="136"/>
  <c r="FS110" i="136"/>
  <c r="FT110" i="136"/>
  <c r="FR111" i="136"/>
  <c r="FS111" i="136"/>
  <c r="FT111" i="136"/>
  <c r="FR112" i="136"/>
  <c r="FS112" i="136"/>
  <c r="FT112" i="136"/>
  <c r="FR113" i="136"/>
  <c r="FS113" i="136"/>
  <c r="FT113" i="136"/>
  <c r="FR114" i="136"/>
  <c r="FS114" i="136"/>
  <c r="FT114" i="136"/>
  <c r="FR115" i="136"/>
  <c r="FS115" i="136"/>
  <c r="FT115" i="136"/>
  <c r="FR116" i="136"/>
  <c r="FS116" i="136"/>
  <c r="FT116" i="136"/>
  <c r="FR117" i="136"/>
  <c r="FS117" i="136"/>
  <c r="FT117" i="136"/>
  <c r="FR118" i="136"/>
  <c r="FS118" i="136"/>
  <c r="FT118" i="136"/>
  <c r="FR119" i="136"/>
  <c r="FS119" i="136"/>
  <c r="FT119" i="136"/>
  <c r="FR120" i="136"/>
  <c r="FS120" i="136"/>
  <c r="FT120" i="136"/>
  <c r="FR121" i="136"/>
  <c r="FS121" i="136"/>
  <c r="FT121" i="136"/>
  <c r="FR122" i="136"/>
  <c r="FS122" i="136"/>
  <c r="FT122" i="136"/>
  <c r="FR123" i="136"/>
  <c r="FS123" i="136"/>
  <c r="FT123" i="136"/>
  <c r="FR124" i="136"/>
  <c r="FS124" i="136"/>
  <c r="FT124" i="136"/>
  <c r="FR125" i="136"/>
  <c r="FS125" i="136"/>
  <c r="FT125" i="136"/>
  <c r="FR126" i="136"/>
  <c r="FS126" i="136"/>
  <c r="FT126" i="136"/>
  <c r="FR127" i="136"/>
  <c r="FS127" i="136"/>
  <c r="FT127" i="136"/>
  <c r="FR128" i="136"/>
  <c r="FS128" i="136"/>
  <c r="FT128" i="136"/>
  <c r="FR129" i="136"/>
  <c r="FS129" i="136"/>
  <c r="FT129" i="136"/>
  <c r="FR130" i="136"/>
  <c r="FS130" i="136"/>
  <c r="FT130" i="136"/>
  <c r="FR131" i="136"/>
  <c r="FS131" i="136"/>
  <c r="FT131" i="136"/>
  <c r="FR132" i="136"/>
  <c r="FS132" i="136"/>
  <c r="FT132" i="136"/>
  <c r="FR133" i="136"/>
  <c r="FS133" i="136"/>
  <c r="FT133" i="136"/>
  <c r="FR134" i="136"/>
  <c r="FS134" i="136"/>
  <c r="FT134" i="136"/>
  <c r="FR135" i="136"/>
  <c r="FS135" i="136"/>
  <c r="FT135" i="136"/>
  <c r="FR136" i="136"/>
  <c r="FS136" i="136"/>
  <c r="FT136" i="136"/>
  <c r="FR137" i="136"/>
  <c r="FS137" i="136"/>
  <c r="FT137" i="136"/>
  <c r="FR138" i="136"/>
  <c r="FS138" i="136"/>
  <c r="FT138" i="136"/>
  <c r="FR139" i="136"/>
  <c r="FS139" i="136"/>
  <c r="FT139" i="136"/>
  <c r="FR140" i="136"/>
  <c r="FS140" i="136"/>
  <c r="FT140" i="136"/>
  <c r="FR141" i="136"/>
  <c r="FS141" i="136"/>
  <c r="FT141" i="136"/>
  <c r="FR142" i="136"/>
  <c r="FS142" i="136"/>
  <c r="FT142" i="136"/>
  <c r="FR143" i="136"/>
  <c r="FS143" i="136"/>
  <c r="FT143" i="136"/>
  <c r="FR144" i="136"/>
  <c r="FS144" i="136"/>
  <c r="FT144" i="136"/>
  <c r="FR145" i="136"/>
  <c r="FS145" i="136"/>
  <c r="FT145" i="136"/>
  <c r="FR146" i="136"/>
  <c r="FS146" i="136"/>
  <c r="FT146" i="136"/>
  <c r="FR147" i="136"/>
  <c r="FS147" i="136"/>
  <c r="FT147" i="136"/>
  <c r="FR148" i="136"/>
  <c r="FS148" i="136"/>
  <c r="FT148" i="136"/>
  <c r="FR149" i="136"/>
  <c r="FS149" i="136"/>
  <c r="FT149" i="136"/>
  <c r="FR150" i="136"/>
  <c r="FS150" i="136"/>
  <c r="FT150" i="136"/>
  <c r="FR151" i="136"/>
  <c r="FS151" i="136"/>
  <c r="FT151" i="136"/>
  <c r="FR152" i="136"/>
  <c r="FS152" i="136"/>
  <c r="FT152" i="136"/>
  <c r="FR153" i="136"/>
  <c r="FS153" i="136"/>
  <c r="FT153" i="136"/>
  <c r="FR154" i="136"/>
  <c r="FS154" i="136"/>
  <c r="FT154" i="136"/>
  <c r="FR155" i="136"/>
  <c r="FS155" i="136"/>
  <c r="FT155" i="136"/>
  <c r="FR156" i="136"/>
  <c r="FS156" i="136"/>
  <c r="FT156" i="136"/>
  <c r="FR157" i="136"/>
  <c r="FS157" i="136"/>
  <c r="FT157" i="136"/>
  <c r="FR158" i="136"/>
  <c r="FS158" i="136"/>
  <c r="FT158" i="136"/>
  <c r="FR159" i="136"/>
  <c r="FS159" i="136"/>
  <c r="FT159" i="136"/>
  <c r="FR160" i="136"/>
  <c r="FS160" i="136"/>
  <c r="FT160" i="136"/>
  <c r="FR161" i="136"/>
  <c r="FS161" i="136"/>
  <c r="FT161" i="136"/>
  <c r="FR162" i="136"/>
  <c r="FS162" i="136"/>
  <c r="FT162" i="136"/>
  <c r="FR164" i="136"/>
  <c r="FS164" i="136"/>
  <c r="FT164" i="136"/>
  <c r="FR167" i="136"/>
  <c r="FS167" i="136"/>
  <c r="FT167" i="136"/>
  <c r="FS3" i="136"/>
  <c r="FT3" i="136"/>
  <c r="FR3" i="136"/>
  <c r="FL4" i="136"/>
  <c r="AG11" i="4" s="1"/>
  <c r="FL5" i="136"/>
  <c r="AG12" i="4" s="1"/>
  <c r="FL6" i="136"/>
  <c r="AG13" i="4" s="1"/>
  <c r="FL7" i="136"/>
  <c r="AG14" i="4" s="1"/>
  <c r="FL8" i="136"/>
  <c r="AG15" i="4" s="1"/>
  <c r="FL9" i="136"/>
  <c r="AG17" i="4" s="1"/>
  <c r="FL10" i="136"/>
  <c r="AG18" i="4" s="1"/>
  <c r="FL11" i="136"/>
  <c r="AG19" i="4" s="1"/>
  <c r="FL12" i="136"/>
  <c r="AG20" i="4" s="1"/>
  <c r="FL13" i="136"/>
  <c r="AG21" i="4" s="1"/>
  <c r="FL14" i="136"/>
  <c r="AG22" i="4" s="1"/>
  <c r="FL15" i="136"/>
  <c r="AG23" i="4" s="1"/>
  <c r="FL16" i="136"/>
  <c r="AG26" i="4" s="1"/>
  <c r="FL17" i="136"/>
  <c r="AG27" i="4" s="1"/>
  <c r="FL18" i="136"/>
  <c r="AG28" i="4" s="1"/>
  <c r="FL19" i="136"/>
  <c r="AG29" i="4" s="1"/>
  <c r="FL20" i="136"/>
  <c r="AG30" i="4" s="1"/>
  <c r="FL21" i="136"/>
  <c r="AG31" i="4" s="1"/>
  <c r="FL22" i="136"/>
  <c r="AG33" i="4" s="1"/>
  <c r="FL23" i="136"/>
  <c r="AG34" i="4" s="1"/>
  <c r="FL24" i="136"/>
  <c r="AG35" i="4" s="1"/>
  <c r="FL25" i="136"/>
  <c r="AG36" i="4" s="1"/>
  <c r="FL26" i="136"/>
  <c r="AG38" i="4" s="1"/>
  <c r="FL27" i="136"/>
  <c r="AG39" i="4" s="1"/>
  <c r="FL28" i="136"/>
  <c r="AG41" i="4" s="1"/>
  <c r="FL29" i="136"/>
  <c r="AG42" i="4" s="1"/>
  <c r="FL30" i="136"/>
  <c r="AG43" i="4" s="1"/>
  <c r="FL31" i="136"/>
  <c r="AG44" i="4" s="1"/>
  <c r="FL32" i="136"/>
  <c r="AG45" i="4" s="1"/>
  <c r="FL33" i="136"/>
  <c r="AG46" i="4" s="1"/>
  <c r="FL34" i="136"/>
  <c r="AG47" i="4" s="1"/>
  <c r="FL35" i="136"/>
  <c r="AG49" i="4" s="1"/>
  <c r="FL36" i="136"/>
  <c r="AG50" i="4" s="1"/>
  <c r="FL37" i="136"/>
  <c r="AG51" i="4" s="1"/>
  <c r="FL38" i="136"/>
  <c r="AG52" i="4" s="1"/>
  <c r="FL39" i="136"/>
  <c r="AG53" i="4" s="1"/>
  <c r="FL40" i="136"/>
  <c r="AG54" i="4" s="1"/>
  <c r="FL41" i="136"/>
  <c r="AG57" i="4" s="1"/>
  <c r="FL42" i="136"/>
  <c r="AG58" i="4" s="1"/>
  <c r="FL43" i="136"/>
  <c r="AG59" i="4" s="1"/>
  <c r="FL44" i="136"/>
  <c r="AG60" i="4" s="1"/>
  <c r="FL45" i="136"/>
  <c r="AG61" i="4" s="1"/>
  <c r="FL46" i="136"/>
  <c r="AG62" i="4" s="1"/>
  <c r="FL47" i="136"/>
  <c r="AG63" i="4" s="1"/>
  <c r="FL48" i="136"/>
  <c r="AG64" i="4" s="1"/>
  <c r="FL49" i="136"/>
  <c r="AG65" i="4" s="1"/>
  <c r="FL50" i="136"/>
  <c r="AG66" i="4" s="1"/>
  <c r="FL51" i="136"/>
  <c r="AG67" i="4" s="1"/>
  <c r="FL52" i="136"/>
  <c r="AG69" i="4" s="1"/>
  <c r="FL53" i="136"/>
  <c r="AG70" i="4" s="1"/>
  <c r="FL54" i="136"/>
  <c r="AG72" i="4" s="1"/>
  <c r="FL55" i="136"/>
  <c r="AG73" i="4" s="1"/>
  <c r="FL56" i="136"/>
  <c r="AG74" i="4" s="1"/>
  <c r="FL57" i="136"/>
  <c r="AG75" i="4" s="1"/>
  <c r="FL58" i="136"/>
  <c r="AG76" i="4" s="1"/>
  <c r="FL59" i="136"/>
  <c r="AG77" i="4" s="1"/>
  <c r="FL60" i="136"/>
  <c r="AG79" i="4" s="1"/>
  <c r="FL61" i="136"/>
  <c r="AG80" i="4" s="1"/>
  <c r="FL62" i="136"/>
  <c r="AG89" i="4" s="1"/>
  <c r="FL63" i="136"/>
  <c r="AG90" i="4" s="1"/>
  <c r="FL64" i="136"/>
  <c r="AG93" i="4" s="1"/>
  <c r="FL65" i="136"/>
  <c r="AG95" i="4" s="1"/>
  <c r="FL66" i="136"/>
  <c r="AG97" i="4" s="1"/>
  <c r="FL67" i="136"/>
  <c r="AG98" i="4" s="1"/>
  <c r="FL68" i="136"/>
  <c r="AG99" i="4" s="1"/>
  <c r="FL69" i="136"/>
  <c r="AG100" i="4" s="1"/>
  <c r="FL70" i="136"/>
  <c r="AG101" i="4" s="1"/>
  <c r="FL71" i="136"/>
  <c r="AG102" i="4" s="1"/>
  <c r="FL72" i="136"/>
  <c r="AG103" i="4" s="1"/>
  <c r="FL73" i="136"/>
  <c r="AG104" i="4" s="1"/>
  <c r="FL74" i="136"/>
  <c r="AG105" i="4" s="1"/>
  <c r="FL75" i="136"/>
  <c r="AG106" i="4" s="1"/>
  <c r="FL76" i="136"/>
  <c r="AG107" i="4" s="1"/>
  <c r="FL77" i="136"/>
  <c r="AG108" i="4" s="1"/>
  <c r="FL78" i="136"/>
  <c r="AG111" i="4" s="1"/>
  <c r="FL79" i="136"/>
  <c r="AG112" i="4" s="1"/>
  <c r="FL80" i="136"/>
  <c r="AG113" i="4" s="1"/>
  <c r="FL81" i="136"/>
  <c r="AG114" i="4" s="1"/>
  <c r="FL82" i="136"/>
  <c r="AG116" i="4" s="1"/>
  <c r="FL83" i="136"/>
  <c r="AG118" i="4" s="1"/>
  <c r="FL84" i="136"/>
  <c r="AG120" i="4" s="1"/>
  <c r="FL85" i="136"/>
  <c r="AG121" i="4" s="1"/>
  <c r="FL86" i="136"/>
  <c r="AG123" i="4" s="1"/>
  <c r="FL87" i="136"/>
  <c r="AG124" i="4" s="1"/>
  <c r="FL88" i="136"/>
  <c r="AG125" i="4" s="1"/>
  <c r="FL89" i="136"/>
  <c r="AG126" i="4" s="1"/>
  <c r="FL90" i="136"/>
  <c r="AG127" i="4" s="1"/>
  <c r="FL91" i="136"/>
  <c r="AG128" i="4" s="1"/>
  <c r="FL92" i="136"/>
  <c r="AG129" i="4" s="1"/>
  <c r="FL93" i="136"/>
  <c r="AG130" i="4" s="1"/>
  <c r="FL94" i="136"/>
  <c r="AG131" i="4" s="1"/>
  <c r="FL95" i="136"/>
  <c r="AG132" i="4" s="1"/>
  <c r="FL96" i="136"/>
  <c r="AG133" i="4" s="1"/>
  <c r="FL97" i="136"/>
  <c r="AG134" i="4" s="1"/>
  <c r="FL98" i="136"/>
  <c r="AG135" i="4" s="1"/>
  <c r="FL99" i="136"/>
  <c r="AG139" i="4" s="1"/>
  <c r="FL100" i="136"/>
  <c r="AG140" i="4" s="1"/>
  <c r="FL101" i="136"/>
  <c r="AG141" i="4" s="1"/>
  <c r="FL102" i="136"/>
  <c r="AG142" i="4" s="1"/>
  <c r="FL103" i="136"/>
  <c r="AG143" i="4" s="1"/>
  <c r="FL104" i="136"/>
  <c r="AG144" i="4" s="1"/>
  <c r="FL105" i="136"/>
  <c r="AG145" i="4" s="1"/>
  <c r="FL106" i="136"/>
  <c r="AG147" i="4" s="1"/>
  <c r="FL107" i="136"/>
  <c r="AG148" i="4" s="1"/>
  <c r="FL108" i="136"/>
  <c r="AG149" i="4" s="1"/>
  <c r="FL109" i="136"/>
  <c r="AG151" i="4" s="1"/>
  <c r="FL110" i="136"/>
  <c r="AG153" i="4" s="1"/>
  <c r="FL111" i="136"/>
  <c r="AG162" i="4" s="1"/>
  <c r="FL112" i="136"/>
  <c r="AG164" i="4" s="1"/>
  <c r="FL113" i="136"/>
  <c r="AG165" i="4" s="1"/>
  <c r="FL114" i="136"/>
  <c r="AG169" i="4" s="1"/>
  <c r="FL115" i="136"/>
  <c r="AG172" i="4" s="1"/>
  <c r="FL116" i="136"/>
  <c r="AG174" i="4" s="1"/>
  <c r="FL117" i="136"/>
  <c r="AG179" i="4" s="1"/>
  <c r="FL118" i="136"/>
  <c r="AG182" i="4" s="1"/>
  <c r="FL119" i="136"/>
  <c r="AG183" i="4" s="1"/>
  <c r="FL120" i="136"/>
  <c r="AG184" i="4" s="1"/>
  <c r="FL121" i="136"/>
  <c r="AG189" i="4" s="1"/>
  <c r="FL122" i="136"/>
  <c r="AG197" i="4" s="1"/>
  <c r="FL123" i="136"/>
  <c r="AG198" i="4" s="1"/>
  <c r="FL124" i="136"/>
  <c r="AG200" i="4" s="1"/>
  <c r="FL125" i="136"/>
  <c r="AG201" i="4" s="1"/>
  <c r="FL126" i="136"/>
  <c r="AG202" i="4" s="1"/>
  <c r="FL3" i="136"/>
  <c r="AG10" i="4" s="1"/>
  <c r="FK127" i="136"/>
  <c r="P168" i="4"/>
  <c r="P171" i="4"/>
  <c r="EE4" i="139"/>
  <c r="EF4" i="139"/>
  <c r="EG4" i="139"/>
  <c r="EE5" i="139"/>
  <c r="EF5" i="139"/>
  <c r="EG5" i="139"/>
  <c r="EE6" i="139"/>
  <c r="EF6" i="139"/>
  <c r="EG6" i="139"/>
  <c r="EE7" i="139"/>
  <c r="EF7" i="139"/>
  <c r="EG7" i="139"/>
  <c r="EE8" i="139"/>
  <c r="EF8" i="139"/>
  <c r="EG8" i="139"/>
  <c r="EF3" i="139"/>
  <c r="EG3" i="139"/>
  <c r="EE3" i="139"/>
  <c r="AE39" i="37"/>
  <c r="AE36" i="37"/>
  <c r="AE35" i="37" s="1"/>
  <c r="AE33" i="37"/>
  <c r="AE31" i="37"/>
  <c r="AE18" i="37"/>
  <c r="GR4" i="138"/>
  <c r="GS4" i="138"/>
  <c r="GT4" i="138"/>
  <c r="GR5" i="138"/>
  <c r="GS5" i="138"/>
  <c r="GT5" i="138"/>
  <c r="GR6" i="138"/>
  <c r="GS6" i="138"/>
  <c r="GT6" i="138"/>
  <c r="GR7" i="138"/>
  <c r="GS7" i="138"/>
  <c r="GT7" i="138"/>
  <c r="GR8" i="138"/>
  <c r="GS8" i="138"/>
  <c r="GT8" i="138"/>
  <c r="GR9" i="138"/>
  <c r="GS9" i="138"/>
  <c r="GT9" i="138"/>
  <c r="GR10" i="138"/>
  <c r="GS10" i="138"/>
  <c r="GT10" i="138"/>
  <c r="GR11" i="138"/>
  <c r="GS11" i="138"/>
  <c r="GT11" i="138"/>
  <c r="GR12" i="138"/>
  <c r="GS12" i="138"/>
  <c r="GT12" i="138"/>
  <c r="GR13" i="138"/>
  <c r="GS13" i="138"/>
  <c r="GT13" i="138"/>
  <c r="GR14" i="138"/>
  <c r="GS14" i="138"/>
  <c r="GT14" i="138"/>
  <c r="GR15" i="138"/>
  <c r="GS15" i="138"/>
  <c r="GT15" i="138"/>
  <c r="GR16" i="138"/>
  <c r="GS16" i="138"/>
  <c r="GT16" i="138"/>
  <c r="GR17" i="138"/>
  <c r="GS17" i="138"/>
  <c r="GT17" i="138"/>
  <c r="GR18" i="138"/>
  <c r="GS18" i="138"/>
  <c r="GT18" i="138"/>
  <c r="GR19" i="138"/>
  <c r="GS19" i="138"/>
  <c r="GT19" i="138"/>
  <c r="GR20" i="138"/>
  <c r="GS20" i="138"/>
  <c r="GT20" i="138"/>
  <c r="GR21" i="138"/>
  <c r="GS21" i="138"/>
  <c r="GT21" i="138"/>
  <c r="GR22" i="138"/>
  <c r="GS22" i="138"/>
  <c r="GT22" i="138"/>
  <c r="GR23" i="138"/>
  <c r="GS23" i="138"/>
  <c r="GT23" i="138"/>
  <c r="GR24" i="138"/>
  <c r="GS24" i="138"/>
  <c r="GT24" i="138"/>
  <c r="GR25" i="138"/>
  <c r="GS25" i="138"/>
  <c r="GT25" i="138"/>
  <c r="GR26" i="138"/>
  <c r="GS26" i="138"/>
  <c r="GT26" i="138"/>
  <c r="GR27" i="138"/>
  <c r="GS27" i="138"/>
  <c r="GT27" i="138"/>
  <c r="GR28" i="138"/>
  <c r="GS28" i="138"/>
  <c r="GT28" i="138"/>
  <c r="GR29" i="138"/>
  <c r="GS29" i="138"/>
  <c r="GT29" i="138"/>
  <c r="GR30" i="138"/>
  <c r="GS30" i="138"/>
  <c r="GT30" i="138"/>
  <c r="GR31" i="138"/>
  <c r="GS31" i="138"/>
  <c r="GT31" i="138"/>
  <c r="GR32" i="138"/>
  <c r="GS32" i="138"/>
  <c r="GT32" i="138"/>
  <c r="GR33" i="138"/>
  <c r="GS33" i="138"/>
  <c r="GT33" i="138"/>
  <c r="GR34" i="138"/>
  <c r="GS34" i="138"/>
  <c r="GT34" i="138"/>
  <c r="GR35" i="138"/>
  <c r="GS35" i="138"/>
  <c r="GT35" i="138"/>
  <c r="GR36" i="138"/>
  <c r="GS36" i="138"/>
  <c r="GT36" i="138"/>
  <c r="GR37" i="138"/>
  <c r="GS37" i="138"/>
  <c r="GT37" i="138"/>
  <c r="GR38" i="138"/>
  <c r="GS38" i="138"/>
  <c r="GT38" i="138"/>
  <c r="GR39" i="138"/>
  <c r="GS39" i="138"/>
  <c r="GT39" i="138"/>
  <c r="GR40" i="138"/>
  <c r="GS40" i="138"/>
  <c r="GT40" i="138"/>
  <c r="GR41" i="138"/>
  <c r="GS41" i="138"/>
  <c r="GT41" i="138"/>
  <c r="GR42" i="138"/>
  <c r="GS42" i="138"/>
  <c r="GT42" i="138"/>
  <c r="GR43" i="138"/>
  <c r="GS43" i="138"/>
  <c r="GT43" i="138"/>
  <c r="GR44" i="138"/>
  <c r="GS44" i="138"/>
  <c r="GT44" i="138"/>
  <c r="GR45" i="138"/>
  <c r="GS45" i="138"/>
  <c r="GT45" i="138"/>
  <c r="GR46" i="138"/>
  <c r="GS46" i="138"/>
  <c r="GT46" i="138"/>
  <c r="GR47" i="138"/>
  <c r="GS47" i="138"/>
  <c r="GT47" i="138"/>
  <c r="GR48" i="138"/>
  <c r="GS48" i="138"/>
  <c r="GT48" i="138"/>
  <c r="GR49" i="138"/>
  <c r="GS49" i="138"/>
  <c r="GT49" i="138"/>
  <c r="GR50" i="138"/>
  <c r="GS50" i="138"/>
  <c r="GT50" i="138"/>
  <c r="GR51" i="138"/>
  <c r="GS51" i="138"/>
  <c r="GT51" i="138"/>
  <c r="GR52" i="138"/>
  <c r="GS52" i="138"/>
  <c r="GT52" i="138"/>
  <c r="GR53" i="138"/>
  <c r="GS53" i="138"/>
  <c r="GT53" i="138"/>
  <c r="GR54" i="138"/>
  <c r="GS54" i="138"/>
  <c r="GT54" i="138"/>
  <c r="GR55" i="138"/>
  <c r="GS55" i="138"/>
  <c r="GT55" i="138"/>
  <c r="GR56" i="138"/>
  <c r="GS56" i="138"/>
  <c r="GT56" i="138"/>
  <c r="GS3" i="138"/>
  <c r="GT3" i="138"/>
  <c r="GR3" i="138"/>
  <c r="GI4" i="138"/>
  <c r="GI5" i="138"/>
  <c r="AE19" i="37" s="1"/>
  <c r="GI6" i="138"/>
  <c r="AE20" i="37" s="1"/>
  <c r="GI7" i="138"/>
  <c r="AE17" i="37" s="1"/>
  <c r="GI8" i="138"/>
  <c r="AE23" i="37" s="1"/>
  <c r="GI9" i="138"/>
  <c r="AE29" i="37" s="1"/>
  <c r="AE28" i="37" s="1"/>
  <c r="GI10" i="138"/>
  <c r="AE44" i="37" s="1"/>
  <c r="GI11" i="138"/>
  <c r="AE45" i="37" s="1"/>
  <c r="GI12" i="138"/>
  <c r="AE46" i="37" s="1"/>
  <c r="GI13" i="138"/>
  <c r="AE47" i="37" s="1"/>
  <c r="GI14" i="138"/>
  <c r="AE49" i="37" s="1"/>
  <c r="GI15" i="138"/>
  <c r="AE50" i="37" s="1"/>
  <c r="GI16" i="138"/>
  <c r="AE51" i="37" s="1"/>
  <c r="GI17" i="138"/>
  <c r="AE52" i="37" s="1"/>
  <c r="GI18" i="138"/>
  <c r="AE53" i="37" s="1"/>
  <c r="GI19" i="138"/>
  <c r="AE54" i="37" s="1"/>
  <c r="GI20" i="138"/>
  <c r="AE55" i="37" s="1"/>
  <c r="GI21" i="138"/>
  <c r="AE57" i="37" s="1"/>
  <c r="GI3" i="138"/>
  <c r="AE15" i="37" s="1"/>
  <c r="GJ3" i="137"/>
  <c r="N12" i="35"/>
  <c r="N31" i="35"/>
  <c r="AE33" i="35"/>
  <c r="AE35" i="35"/>
  <c r="GJ4" i="137"/>
  <c r="GK4" i="137"/>
  <c r="GL4" i="137"/>
  <c r="GJ5" i="137"/>
  <c r="GK5" i="137"/>
  <c r="GL5" i="137"/>
  <c r="GJ6" i="137"/>
  <c r="GK6" i="137"/>
  <c r="GL6" i="137"/>
  <c r="GJ7" i="137"/>
  <c r="GK7" i="137"/>
  <c r="GL7" i="137"/>
  <c r="GJ8" i="137"/>
  <c r="GK8" i="137"/>
  <c r="GL8" i="137"/>
  <c r="GJ9" i="137"/>
  <c r="GK9" i="137"/>
  <c r="GL9" i="137"/>
  <c r="GJ10" i="137"/>
  <c r="GK10" i="137"/>
  <c r="GL10" i="137"/>
  <c r="GJ11" i="137"/>
  <c r="GK11" i="137"/>
  <c r="GL11" i="137"/>
  <c r="GJ12" i="137"/>
  <c r="GK12" i="137"/>
  <c r="GL12" i="137"/>
  <c r="GJ13" i="137"/>
  <c r="GK13" i="137"/>
  <c r="GL13" i="137"/>
  <c r="GJ14" i="137"/>
  <c r="GK14" i="137"/>
  <c r="GL14" i="137"/>
  <c r="GJ15" i="137"/>
  <c r="GK15" i="137"/>
  <c r="GL15" i="137"/>
  <c r="GJ16" i="137"/>
  <c r="GK16" i="137"/>
  <c r="GL16" i="137"/>
  <c r="GJ17" i="137"/>
  <c r="GK17" i="137"/>
  <c r="GL17" i="137"/>
  <c r="GJ18" i="137"/>
  <c r="GK18" i="137"/>
  <c r="GL18" i="137"/>
  <c r="GJ19" i="137"/>
  <c r="GK19" i="137"/>
  <c r="GL19" i="137"/>
  <c r="GJ20" i="137"/>
  <c r="GK20" i="137"/>
  <c r="GL20" i="137"/>
  <c r="GJ21" i="137"/>
  <c r="GK21" i="137"/>
  <c r="GL21" i="137"/>
  <c r="GJ22" i="137"/>
  <c r="GK22" i="137"/>
  <c r="GL22" i="137"/>
  <c r="GJ23" i="137"/>
  <c r="GK23" i="137"/>
  <c r="GL23" i="137"/>
  <c r="GJ24" i="137"/>
  <c r="GK24" i="137"/>
  <c r="GL24" i="137"/>
  <c r="GJ25" i="137"/>
  <c r="GK25" i="137"/>
  <c r="GL25" i="137"/>
  <c r="GJ26" i="137"/>
  <c r="GK26" i="137"/>
  <c r="GL26" i="137"/>
  <c r="GJ27" i="137"/>
  <c r="GK27" i="137"/>
  <c r="GL27" i="137"/>
  <c r="GJ28" i="137"/>
  <c r="GK28" i="137"/>
  <c r="GL28" i="137"/>
  <c r="GJ29" i="137"/>
  <c r="GK29" i="137"/>
  <c r="GL29" i="137"/>
  <c r="GJ30" i="137"/>
  <c r="GK30" i="137"/>
  <c r="GL30" i="137"/>
  <c r="GJ31" i="137"/>
  <c r="GK31" i="137"/>
  <c r="GL31" i="137"/>
  <c r="GJ32" i="137"/>
  <c r="GK32" i="137"/>
  <c r="GL32" i="137"/>
  <c r="GJ33" i="137"/>
  <c r="GK33" i="137"/>
  <c r="GL33" i="137"/>
  <c r="GJ34" i="137"/>
  <c r="GK34" i="137"/>
  <c r="GL34" i="137"/>
  <c r="GJ35" i="137"/>
  <c r="GK35" i="137"/>
  <c r="GL35" i="137"/>
  <c r="GJ36" i="137"/>
  <c r="GK36" i="137"/>
  <c r="GL36" i="137"/>
  <c r="GJ37" i="137"/>
  <c r="GK37" i="137"/>
  <c r="GL37" i="137"/>
  <c r="GJ38" i="137"/>
  <c r="GK38" i="137"/>
  <c r="GL38" i="137"/>
  <c r="GJ39" i="137"/>
  <c r="GK39" i="137"/>
  <c r="GL39" i="137"/>
  <c r="GJ40" i="137"/>
  <c r="GK40" i="137"/>
  <c r="GL40" i="137"/>
  <c r="GJ41" i="137"/>
  <c r="GK41" i="137"/>
  <c r="GL41" i="137"/>
  <c r="GJ42" i="137"/>
  <c r="GK42" i="137"/>
  <c r="GL42" i="137"/>
  <c r="GJ43" i="137"/>
  <c r="GK43" i="137"/>
  <c r="GL43" i="137"/>
  <c r="GJ44" i="137"/>
  <c r="GK44" i="137"/>
  <c r="GL44" i="137"/>
  <c r="GJ45" i="137"/>
  <c r="GK45" i="137"/>
  <c r="GL45" i="137"/>
  <c r="GJ46" i="137"/>
  <c r="GK46" i="137"/>
  <c r="GL46" i="137"/>
  <c r="GJ47" i="137"/>
  <c r="GK47" i="137"/>
  <c r="GL47" i="137"/>
  <c r="GJ48" i="137"/>
  <c r="GK48" i="137"/>
  <c r="GL48" i="137"/>
  <c r="GJ49" i="137"/>
  <c r="GK49" i="137"/>
  <c r="GL49" i="137"/>
  <c r="GJ50" i="137"/>
  <c r="GK50" i="137"/>
  <c r="GL50" i="137"/>
  <c r="GJ51" i="137"/>
  <c r="GK51" i="137"/>
  <c r="GL51" i="137"/>
  <c r="GJ52" i="137"/>
  <c r="GK52" i="137"/>
  <c r="GL52" i="137"/>
  <c r="GJ53" i="137"/>
  <c r="GK53" i="137"/>
  <c r="GL53" i="137"/>
  <c r="GJ54" i="137"/>
  <c r="GK54" i="137"/>
  <c r="GL54" i="137"/>
  <c r="GJ55" i="137"/>
  <c r="GK55" i="137"/>
  <c r="GL55" i="137"/>
  <c r="GK3" i="137"/>
  <c r="GL3" i="137"/>
  <c r="GA4" i="137"/>
  <c r="AE32" i="35" s="1"/>
  <c r="GA5" i="137"/>
  <c r="AE29" i="35" s="1"/>
  <c r="GA6" i="137"/>
  <c r="AE30" i="35" s="1"/>
  <c r="GA7" i="137"/>
  <c r="AE28" i="35" s="1"/>
  <c r="GA8" i="137"/>
  <c r="AE42" i="35" s="1"/>
  <c r="GA9" i="137"/>
  <c r="AE39" i="35" s="1"/>
  <c r="GA10" i="137"/>
  <c r="AE56" i="35" s="1"/>
  <c r="GA11" i="137"/>
  <c r="AE57" i="35" s="1"/>
  <c r="GA12" i="137"/>
  <c r="AE58" i="35" s="1"/>
  <c r="GA13" i="137"/>
  <c r="AE59" i="35" s="1"/>
  <c r="GA3" i="137"/>
  <c r="AE22" i="35" s="1"/>
  <c r="AE21" i="35" s="1"/>
  <c r="O115" i="4"/>
  <c r="FC4" i="136"/>
  <c r="FD4" i="136"/>
  <c r="FE4" i="136"/>
  <c r="FF4" i="136"/>
  <c r="FG4" i="136"/>
  <c r="FC5" i="136"/>
  <c r="FD5" i="136"/>
  <c r="FE5" i="136"/>
  <c r="FF5" i="136"/>
  <c r="FG5" i="136"/>
  <c r="FC6" i="136"/>
  <c r="FD6" i="136"/>
  <c r="FE6" i="136"/>
  <c r="FF6" i="136"/>
  <c r="FG6" i="136"/>
  <c r="FC7" i="136"/>
  <c r="FD7" i="136"/>
  <c r="FE7" i="136"/>
  <c r="FF7" i="136"/>
  <c r="FG7" i="136"/>
  <c r="FC8" i="136"/>
  <c r="FD8" i="136"/>
  <c r="FE8" i="136"/>
  <c r="FF8" i="136"/>
  <c r="FG8" i="136"/>
  <c r="FC9" i="136"/>
  <c r="FD9" i="136"/>
  <c r="FE9" i="136"/>
  <c r="FF9" i="136"/>
  <c r="FG9" i="136"/>
  <c r="FC10" i="136"/>
  <c r="FD10" i="136"/>
  <c r="FE10" i="136"/>
  <c r="FF10" i="136"/>
  <c r="FG10" i="136"/>
  <c r="FC11" i="136"/>
  <c r="FD11" i="136"/>
  <c r="FE11" i="136"/>
  <c r="FF11" i="136"/>
  <c r="FG11" i="136"/>
  <c r="FC12" i="136"/>
  <c r="FD12" i="136"/>
  <c r="FE12" i="136"/>
  <c r="FF12" i="136"/>
  <c r="FG12" i="136"/>
  <c r="FC13" i="136"/>
  <c r="FD13" i="136"/>
  <c r="FE13" i="136"/>
  <c r="FF13" i="136"/>
  <c r="FG13" i="136"/>
  <c r="FC14" i="136"/>
  <c r="FD14" i="136"/>
  <c r="FE14" i="136"/>
  <c r="FF14" i="136"/>
  <c r="FG14" i="136"/>
  <c r="FC15" i="136"/>
  <c r="FD15" i="136"/>
  <c r="FE15" i="136"/>
  <c r="FF15" i="136"/>
  <c r="FG15" i="136"/>
  <c r="FC16" i="136"/>
  <c r="FD16" i="136"/>
  <c r="FE16" i="136"/>
  <c r="FF16" i="136"/>
  <c r="FG16" i="136"/>
  <c r="FC17" i="136"/>
  <c r="FD17" i="136"/>
  <c r="FE17" i="136"/>
  <c r="FF17" i="136"/>
  <c r="FG17" i="136"/>
  <c r="FC18" i="136"/>
  <c r="FD18" i="136"/>
  <c r="FE18" i="136"/>
  <c r="FF18" i="136"/>
  <c r="FG18" i="136"/>
  <c r="FC19" i="136"/>
  <c r="FD19" i="136"/>
  <c r="FE19" i="136"/>
  <c r="FF19" i="136"/>
  <c r="FG19" i="136"/>
  <c r="FC20" i="136"/>
  <c r="FD20" i="136"/>
  <c r="FE20" i="136"/>
  <c r="FF20" i="136"/>
  <c r="FG20" i="136"/>
  <c r="FC21" i="136"/>
  <c r="FD21" i="136"/>
  <c r="FE21" i="136"/>
  <c r="FF21" i="136"/>
  <c r="FG21" i="136"/>
  <c r="FC22" i="136"/>
  <c r="FD22" i="136"/>
  <c r="FE22" i="136"/>
  <c r="FF22" i="136"/>
  <c r="FG22" i="136"/>
  <c r="FC23" i="136"/>
  <c r="FD23" i="136"/>
  <c r="FE23" i="136"/>
  <c r="FF23" i="136"/>
  <c r="FG23" i="136"/>
  <c r="FC24" i="136"/>
  <c r="FD24" i="136"/>
  <c r="FE24" i="136"/>
  <c r="FF24" i="136"/>
  <c r="FG24" i="136"/>
  <c r="FC25" i="136"/>
  <c r="FD25" i="136"/>
  <c r="FE25" i="136"/>
  <c r="FF25" i="136"/>
  <c r="FG25" i="136"/>
  <c r="FC26" i="136"/>
  <c r="FD26" i="136"/>
  <c r="FE26" i="136"/>
  <c r="FF26" i="136"/>
  <c r="FG26" i="136"/>
  <c r="FC27" i="136"/>
  <c r="FD27" i="136"/>
  <c r="FE27" i="136"/>
  <c r="FF27" i="136"/>
  <c r="FG27" i="136"/>
  <c r="FC28" i="136"/>
  <c r="FD28" i="136"/>
  <c r="FE28" i="136"/>
  <c r="FF28" i="136"/>
  <c r="FG28" i="136"/>
  <c r="FC29" i="136"/>
  <c r="FD29" i="136"/>
  <c r="FE29" i="136"/>
  <c r="FF29" i="136"/>
  <c r="FG29" i="136"/>
  <c r="FC30" i="136"/>
  <c r="FD30" i="136"/>
  <c r="FE30" i="136"/>
  <c r="FF30" i="136"/>
  <c r="FG30" i="136"/>
  <c r="FC31" i="136"/>
  <c r="FD31" i="136"/>
  <c r="FE31" i="136"/>
  <c r="FF31" i="136"/>
  <c r="FG31" i="136"/>
  <c r="FC32" i="136"/>
  <c r="FD32" i="136"/>
  <c r="FE32" i="136"/>
  <c r="FF32" i="136"/>
  <c r="FG32" i="136"/>
  <c r="FC33" i="136"/>
  <c r="FD33" i="136"/>
  <c r="FE33" i="136"/>
  <c r="FF33" i="136"/>
  <c r="FG33" i="136"/>
  <c r="FC34" i="136"/>
  <c r="FD34" i="136"/>
  <c r="FE34" i="136"/>
  <c r="FF34" i="136"/>
  <c r="FG34" i="136"/>
  <c r="FC35" i="136"/>
  <c r="FD35" i="136"/>
  <c r="FE35" i="136"/>
  <c r="FF35" i="136"/>
  <c r="FG35" i="136"/>
  <c r="FC36" i="136"/>
  <c r="FD36" i="136"/>
  <c r="FE36" i="136"/>
  <c r="FF36" i="136"/>
  <c r="FG36" i="136"/>
  <c r="FC37" i="136"/>
  <c r="FD37" i="136"/>
  <c r="FE37" i="136"/>
  <c r="FF37" i="136"/>
  <c r="FG37" i="136"/>
  <c r="FC38" i="136"/>
  <c r="FD38" i="136"/>
  <c r="FE38" i="136"/>
  <c r="FF38" i="136"/>
  <c r="FG38" i="136"/>
  <c r="FC39" i="136"/>
  <c r="FD39" i="136"/>
  <c r="FE39" i="136"/>
  <c r="FF39" i="136"/>
  <c r="FG39" i="136"/>
  <c r="FC40" i="136"/>
  <c r="FD40" i="136"/>
  <c r="FE40" i="136"/>
  <c r="FF40" i="136"/>
  <c r="FG40" i="136"/>
  <c r="FC41" i="136"/>
  <c r="FD41" i="136"/>
  <c r="FE41" i="136"/>
  <c r="FF41" i="136"/>
  <c r="FG41" i="136"/>
  <c r="FC42" i="136"/>
  <c r="FD42" i="136"/>
  <c r="FE42" i="136"/>
  <c r="FF42" i="136"/>
  <c r="FG42" i="136"/>
  <c r="FC43" i="136"/>
  <c r="FD43" i="136"/>
  <c r="FE43" i="136"/>
  <c r="FF43" i="136"/>
  <c r="FG43" i="136"/>
  <c r="FC44" i="136"/>
  <c r="FD44" i="136"/>
  <c r="FE44" i="136"/>
  <c r="FF44" i="136"/>
  <c r="FG44" i="136"/>
  <c r="FC45" i="136"/>
  <c r="FD45" i="136"/>
  <c r="FE45" i="136"/>
  <c r="FF45" i="136"/>
  <c r="FG45" i="136"/>
  <c r="FC46" i="136"/>
  <c r="FD46" i="136"/>
  <c r="FE46" i="136"/>
  <c r="FF46" i="136"/>
  <c r="FG46" i="136"/>
  <c r="FC47" i="136"/>
  <c r="FD47" i="136"/>
  <c r="FE47" i="136"/>
  <c r="FF47" i="136"/>
  <c r="FG47" i="136"/>
  <c r="FC48" i="136"/>
  <c r="FD48" i="136"/>
  <c r="FE48" i="136"/>
  <c r="FF48" i="136"/>
  <c r="FG48" i="136"/>
  <c r="FC49" i="136"/>
  <c r="FD49" i="136"/>
  <c r="FE49" i="136"/>
  <c r="FF49" i="136"/>
  <c r="FG49" i="136"/>
  <c r="FC50" i="136"/>
  <c r="FD50" i="136"/>
  <c r="FE50" i="136"/>
  <c r="FF50" i="136"/>
  <c r="FG50" i="136"/>
  <c r="FC51" i="136"/>
  <c r="FD51" i="136"/>
  <c r="FE51" i="136"/>
  <c r="FF51" i="136"/>
  <c r="FG51" i="136"/>
  <c r="FC52" i="136"/>
  <c r="FD52" i="136"/>
  <c r="FE52" i="136"/>
  <c r="FF52" i="136"/>
  <c r="FG52" i="136"/>
  <c r="FC53" i="136"/>
  <c r="FD53" i="136"/>
  <c r="FE53" i="136"/>
  <c r="FF53" i="136"/>
  <c r="FG53" i="136"/>
  <c r="FC54" i="136"/>
  <c r="FD54" i="136"/>
  <c r="FE54" i="136"/>
  <c r="FF54" i="136"/>
  <c r="FG54" i="136"/>
  <c r="FC55" i="136"/>
  <c r="FD55" i="136"/>
  <c r="FE55" i="136"/>
  <c r="FF55" i="136"/>
  <c r="FG55" i="136"/>
  <c r="FC56" i="136"/>
  <c r="FD56" i="136"/>
  <c r="FE56" i="136"/>
  <c r="FF56" i="136"/>
  <c r="FG56" i="136"/>
  <c r="FC57" i="136"/>
  <c r="FD57" i="136"/>
  <c r="FE57" i="136"/>
  <c r="FF57" i="136"/>
  <c r="FG57" i="136"/>
  <c r="FC58" i="136"/>
  <c r="FD58" i="136"/>
  <c r="FE58" i="136"/>
  <c r="FF58" i="136"/>
  <c r="FG58" i="136"/>
  <c r="FC59" i="136"/>
  <c r="FD59" i="136"/>
  <c r="FE59" i="136"/>
  <c r="FF59" i="136"/>
  <c r="FG59" i="136"/>
  <c r="FC60" i="136"/>
  <c r="FD60" i="136"/>
  <c r="FE60" i="136"/>
  <c r="FF60" i="136"/>
  <c r="FG60" i="136"/>
  <c r="FC61" i="136"/>
  <c r="FD61" i="136"/>
  <c r="FE61" i="136"/>
  <c r="FF61" i="136"/>
  <c r="FG61" i="136"/>
  <c r="FC62" i="136"/>
  <c r="FD62" i="136"/>
  <c r="FE62" i="136"/>
  <c r="FF62" i="136"/>
  <c r="FG62" i="136"/>
  <c r="FC63" i="136"/>
  <c r="FD63" i="136"/>
  <c r="FE63" i="136"/>
  <c r="FF63" i="136"/>
  <c r="FG63" i="136"/>
  <c r="FC64" i="136"/>
  <c r="FD64" i="136"/>
  <c r="FE64" i="136"/>
  <c r="FF64" i="136"/>
  <c r="FG64" i="136"/>
  <c r="FC65" i="136"/>
  <c r="FD65" i="136"/>
  <c r="FE65" i="136"/>
  <c r="FF65" i="136"/>
  <c r="FG65" i="136"/>
  <c r="FC66" i="136"/>
  <c r="FD66" i="136"/>
  <c r="FE66" i="136"/>
  <c r="FF66" i="136"/>
  <c r="FG66" i="136"/>
  <c r="FC67" i="136"/>
  <c r="FD67" i="136"/>
  <c r="FE67" i="136"/>
  <c r="FF67" i="136"/>
  <c r="FG67" i="136"/>
  <c r="FC68" i="136"/>
  <c r="FD68" i="136"/>
  <c r="FE68" i="136"/>
  <c r="FF68" i="136"/>
  <c r="FG68" i="136"/>
  <c r="FC69" i="136"/>
  <c r="FD69" i="136"/>
  <c r="FE69" i="136"/>
  <c r="FF69" i="136"/>
  <c r="FG69" i="136"/>
  <c r="FC70" i="136"/>
  <c r="FD70" i="136"/>
  <c r="FE70" i="136"/>
  <c r="FF70" i="136"/>
  <c r="FG70" i="136"/>
  <c r="FC71" i="136"/>
  <c r="FD71" i="136"/>
  <c r="FE71" i="136"/>
  <c r="FF71" i="136"/>
  <c r="FG71" i="136"/>
  <c r="FC72" i="136"/>
  <c r="FD72" i="136"/>
  <c r="FE72" i="136"/>
  <c r="FF72" i="136"/>
  <c r="FG72" i="136"/>
  <c r="FC73" i="136"/>
  <c r="FD73" i="136"/>
  <c r="FE73" i="136"/>
  <c r="FF73" i="136"/>
  <c r="FG73" i="136"/>
  <c r="FC74" i="136"/>
  <c r="FD74" i="136"/>
  <c r="FE74" i="136"/>
  <c r="FF74" i="136"/>
  <c r="FG74" i="136"/>
  <c r="FC75" i="136"/>
  <c r="FD75" i="136"/>
  <c r="FE75" i="136"/>
  <c r="FF75" i="136"/>
  <c r="FG75" i="136"/>
  <c r="FC76" i="136"/>
  <c r="FD76" i="136"/>
  <c r="FE76" i="136"/>
  <c r="FF76" i="136"/>
  <c r="FG76" i="136"/>
  <c r="FC77" i="136"/>
  <c r="FD77" i="136"/>
  <c r="FE77" i="136"/>
  <c r="FF77" i="136"/>
  <c r="FG77" i="136"/>
  <c r="FC78" i="136"/>
  <c r="FD78" i="136"/>
  <c r="FE78" i="136"/>
  <c r="FF78" i="136"/>
  <c r="FG78" i="136"/>
  <c r="FC79" i="136"/>
  <c r="FD79" i="136"/>
  <c r="FE79" i="136"/>
  <c r="FF79" i="136"/>
  <c r="FG79" i="136"/>
  <c r="FC80" i="136"/>
  <c r="FD80" i="136"/>
  <c r="FE80" i="136"/>
  <c r="FF80" i="136"/>
  <c r="FG80" i="136"/>
  <c r="FC81" i="136"/>
  <c r="FD81" i="136"/>
  <c r="FE81" i="136"/>
  <c r="FF81" i="136"/>
  <c r="FG81" i="136"/>
  <c r="FC82" i="136"/>
  <c r="FD82" i="136"/>
  <c r="FE82" i="136"/>
  <c r="FF82" i="136"/>
  <c r="FG82" i="136"/>
  <c r="FC83" i="136"/>
  <c r="FD83" i="136"/>
  <c r="FE83" i="136"/>
  <c r="FF83" i="136"/>
  <c r="FG83" i="136"/>
  <c r="FC84" i="136"/>
  <c r="FD84" i="136"/>
  <c r="FE84" i="136"/>
  <c r="FF84" i="136"/>
  <c r="FG84" i="136"/>
  <c r="FC85" i="136"/>
  <c r="FD85" i="136"/>
  <c r="FE85" i="136"/>
  <c r="FF85" i="136"/>
  <c r="FG85" i="136"/>
  <c r="FC86" i="136"/>
  <c r="FD86" i="136"/>
  <c r="FE86" i="136"/>
  <c r="FF86" i="136"/>
  <c r="FG86" i="136"/>
  <c r="FC87" i="136"/>
  <c r="FD87" i="136"/>
  <c r="FE87" i="136"/>
  <c r="FF87" i="136"/>
  <c r="FG87" i="136"/>
  <c r="FC88" i="136"/>
  <c r="FD88" i="136"/>
  <c r="FE88" i="136"/>
  <c r="FF88" i="136"/>
  <c r="FG88" i="136"/>
  <c r="FC89" i="136"/>
  <c r="FD89" i="136"/>
  <c r="FE89" i="136"/>
  <c r="FF89" i="136"/>
  <c r="FG89" i="136"/>
  <c r="FC90" i="136"/>
  <c r="FD90" i="136"/>
  <c r="FE90" i="136"/>
  <c r="FF90" i="136"/>
  <c r="FG90" i="136"/>
  <c r="FC91" i="136"/>
  <c r="FD91" i="136"/>
  <c r="FE91" i="136"/>
  <c r="FF91" i="136"/>
  <c r="FG91" i="136"/>
  <c r="FC92" i="136"/>
  <c r="FD92" i="136"/>
  <c r="FE92" i="136"/>
  <c r="FF92" i="136"/>
  <c r="FG92" i="136"/>
  <c r="FC93" i="136"/>
  <c r="FD93" i="136"/>
  <c r="FE93" i="136"/>
  <c r="FF93" i="136"/>
  <c r="FG93" i="136"/>
  <c r="FC94" i="136"/>
  <c r="FD94" i="136"/>
  <c r="FE94" i="136"/>
  <c r="FF94" i="136"/>
  <c r="FG94" i="136"/>
  <c r="FC95" i="136"/>
  <c r="FD95" i="136"/>
  <c r="FE95" i="136"/>
  <c r="FF95" i="136"/>
  <c r="FG95" i="136"/>
  <c r="FC96" i="136"/>
  <c r="FD96" i="136"/>
  <c r="FE96" i="136"/>
  <c r="FF96" i="136"/>
  <c r="FG96" i="136"/>
  <c r="FC97" i="136"/>
  <c r="FD97" i="136"/>
  <c r="FE97" i="136"/>
  <c r="FF97" i="136"/>
  <c r="FG97" i="136"/>
  <c r="FC98" i="136"/>
  <c r="FD98" i="136"/>
  <c r="FE98" i="136"/>
  <c r="FF98" i="136"/>
  <c r="FG98" i="136"/>
  <c r="FC99" i="136"/>
  <c r="FD99" i="136"/>
  <c r="FE99" i="136"/>
  <c r="FF99" i="136"/>
  <c r="FG99" i="136"/>
  <c r="FC100" i="136"/>
  <c r="FD100" i="136"/>
  <c r="FE100" i="136"/>
  <c r="FF100" i="136"/>
  <c r="FG100" i="136"/>
  <c r="FC101" i="136"/>
  <c r="FD101" i="136"/>
  <c r="FE101" i="136"/>
  <c r="FF101" i="136"/>
  <c r="FG101" i="136"/>
  <c r="FC102" i="136"/>
  <c r="FD102" i="136"/>
  <c r="FE102" i="136"/>
  <c r="FF102" i="136"/>
  <c r="FG102" i="136"/>
  <c r="FC103" i="136"/>
  <c r="FD103" i="136"/>
  <c r="FE103" i="136"/>
  <c r="FF103" i="136"/>
  <c r="FG103" i="136"/>
  <c r="FC104" i="136"/>
  <c r="FD104" i="136"/>
  <c r="FE104" i="136"/>
  <c r="FF104" i="136"/>
  <c r="FG104" i="136"/>
  <c r="FC105" i="136"/>
  <c r="FD105" i="136"/>
  <c r="FE105" i="136"/>
  <c r="FF105" i="136"/>
  <c r="FG105" i="136"/>
  <c r="FC106" i="136"/>
  <c r="FD106" i="136"/>
  <c r="FE106" i="136"/>
  <c r="FF106" i="136"/>
  <c r="FG106" i="136"/>
  <c r="FC107" i="136"/>
  <c r="FD107" i="136"/>
  <c r="FE107" i="136"/>
  <c r="FF107" i="136"/>
  <c r="FG107" i="136"/>
  <c r="FC108" i="136"/>
  <c r="FD108" i="136"/>
  <c r="FE108" i="136"/>
  <c r="FF108" i="136"/>
  <c r="FG108" i="136"/>
  <c r="FC109" i="136"/>
  <c r="FD109" i="136"/>
  <c r="FE109" i="136"/>
  <c r="FF109" i="136"/>
  <c r="FG109" i="136"/>
  <c r="FC110" i="136"/>
  <c r="FD110" i="136"/>
  <c r="FE110" i="136"/>
  <c r="FF110" i="136"/>
  <c r="FG110" i="136"/>
  <c r="FC111" i="136"/>
  <c r="FD111" i="136"/>
  <c r="FE111" i="136"/>
  <c r="FF111" i="136"/>
  <c r="FG111" i="136"/>
  <c r="FC112" i="136"/>
  <c r="FD112" i="136"/>
  <c r="FE112" i="136"/>
  <c r="FF112" i="136"/>
  <c r="FG112" i="136"/>
  <c r="FC113" i="136"/>
  <c r="FD113" i="136"/>
  <c r="FE113" i="136"/>
  <c r="FF113" i="136"/>
  <c r="FG113" i="136"/>
  <c r="FC114" i="136"/>
  <c r="FD114" i="136"/>
  <c r="FE114" i="136"/>
  <c r="FF114" i="136"/>
  <c r="FG114" i="136"/>
  <c r="FC115" i="136"/>
  <c r="FD115" i="136"/>
  <c r="FE115" i="136"/>
  <c r="FF115" i="136"/>
  <c r="FG115" i="136"/>
  <c r="FC116" i="136"/>
  <c r="FD116" i="136"/>
  <c r="FE116" i="136"/>
  <c r="FF116" i="136"/>
  <c r="FG116" i="136"/>
  <c r="FC117" i="136"/>
  <c r="FD117" i="136"/>
  <c r="FE117" i="136"/>
  <c r="FF117" i="136"/>
  <c r="FG117" i="136"/>
  <c r="FC118" i="136"/>
  <c r="FD118" i="136"/>
  <c r="FE118" i="136"/>
  <c r="FF118" i="136"/>
  <c r="FG118" i="136"/>
  <c r="FC119" i="136"/>
  <c r="FD119" i="136"/>
  <c r="FE119" i="136"/>
  <c r="FF119" i="136"/>
  <c r="FG119" i="136"/>
  <c r="FC120" i="136"/>
  <c r="FD120" i="136"/>
  <c r="FE120" i="136"/>
  <c r="FF120" i="136"/>
  <c r="FG120" i="136"/>
  <c r="FC121" i="136"/>
  <c r="FD121" i="136"/>
  <c r="FE121" i="136"/>
  <c r="FF121" i="136"/>
  <c r="FG121" i="136"/>
  <c r="FC122" i="136"/>
  <c r="FD122" i="136"/>
  <c r="FE122" i="136"/>
  <c r="FF122" i="136"/>
  <c r="FG122" i="136"/>
  <c r="FC123" i="136"/>
  <c r="FD123" i="136"/>
  <c r="FE123" i="136"/>
  <c r="FF123" i="136"/>
  <c r="FG123" i="136"/>
  <c r="FC124" i="136"/>
  <c r="FD124" i="136"/>
  <c r="FE124" i="136"/>
  <c r="FF124" i="136"/>
  <c r="FG124" i="136"/>
  <c r="FC125" i="136"/>
  <c r="FD125" i="136"/>
  <c r="FE125" i="136"/>
  <c r="FF125" i="136"/>
  <c r="FG125" i="136"/>
  <c r="FC126" i="136"/>
  <c r="FD126" i="136"/>
  <c r="FE126" i="136"/>
  <c r="FF126" i="136"/>
  <c r="FG126" i="136"/>
  <c r="FC127" i="136"/>
  <c r="FD127" i="136"/>
  <c r="FE127" i="136"/>
  <c r="FF127" i="136"/>
  <c r="FG127" i="136"/>
  <c r="FC128" i="136"/>
  <c r="FD128" i="136"/>
  <c r="FE128" i="136"/>
  <c r="FF128" i="136"/>
  <c r="FG128" i="136"/>
  <c r="FC129" i="136"/>
  <c r="FD129" i="136"/>
  <c r="FE129" i="136"/>
  <c r="FF129" i="136"/>
  <c r="FG129" i="136"/>
  <c r="FC130" i="136"/>
  <c r="FD130" i="136"/>
  <c r="FE130" i="136"/>
  <c r="FF130" i="136"/>
  <c r="FG130" i="136"/>
  <c r="FC131" i="136"/>
  <c r="FD131" i="136"/>
  <c r="FE131" i="136"/>
  <c r="FF131" i="136"/>
  <c r="FG131" i="136"/>
  <c r="FC132" i="136"/>
  <c r="FD132" i="136"/>
  <c r="FE132" i="136"/>
  <c r="FF132" i="136"/>
  <c r="FG132" i="136"/>
  <c r="FC133" i="136"/>
  <c r="FD133" i="136"/>
  <c r="FE133" i="136"/>
  <c r="FF133" i="136"/>
  <c r="FG133" i="136"/>
  <c r="FC134" i="136"/>
  <c r="FD134" i="136"/>
  <c r="FE134" i="136"/>
  <c r="FF134" i="136"/>
  <c r="FG134" i="136"/>
  <c r="FC135" i="136"/>
  <c r="FD135" i="136"/>
  <c r="FE135" i="136"/>
  <c r="FF135" i="136"/>
  <c r="FG135" i="136"/>
  <c r="FC136" i="136"/>
  <c r="FD136" i="136"/>
  <c r="FE136" i="136"/>
  <c r="FF136" i="136"/>
  <c r="FG136" i="136"/>
  <c r="FC137" i="136"/>
  <c r="FD137" i="136"/>
  <c r="FE137" i="136"/>
  <c r="FF137" i="136"/>
  <c r="FG137" i="136"/>
  <c r="FC138" i="136"/>
  <c r="FD138" i="136"/>
  <c r="FE138" i="136"/>
  <c r="FF138" i="136"/>
  <c r="FG138" i="136"/>
  <c r="FC139" i="136"/>
  <c r="FD139" i="136"/>
  <c r="FE139" i="136"/>
  <c r="FF139" i="136"/>
  <c r="FG139" i="136"/>
  <c r="FC140" i="136"/>
  <c r="FD140" i="136"/>
  <c r="FE140" i="136"/>
  <c r="FF140" i="136"/>
  <c r="FG140" i="136"/>
  <c r="FC141" i="136"/>
  <c r="FD141" i="136"/>
  <c r="FE141" i="136"/>
  <c r="FF141" i="136"/>
  <c r="FG141" i="136"/>
  <c r="FC142" i="136"/>
  <c r="FD142" i="136"/>
  <c r="FE142" i="136"/>
  <c r="FF142" i="136"/>
  <c r="FG142" i="136"/>
  <c r="FC143" i="136"/>
  <c r="FD143" i="136"/>
  <c r="FE143" i="136"/>
  <c r="FF143" i="136"/>
  <c r="FG143" i="136"/>
  <c r="FC144" i="136"/>
  <c r="FD144" i="136"/>
  <c r="FE144" i="136"/>
  <c r="FF144" i="136"/>
  <c r="FG144" i="136"/>
  <c r="FC145" i="136"/>
  <c r="FD145" i="136"/>
  <c r="FE145" i="136"/>
  <c r="FF145" i="136"/>
  <c r="FG145" i="136"/>
  <c r="FC146" i="136"/>
  <c r="FD146" i="136"/>
  <c r="FE146" i="136"/>
  <c r="FF146" i="136"/>
  <c r="FG146" i="136"/>
  <c r="FC147" i="136"/>
  <c r="FD147" i="136"/>
  <c r="FE147" i="136"/>
  <c r="FF147" i="136"/>
  <c r="FG147" i="136"/>
  <c r="FC148" i="136"/>
  <c r="FD148" i="136"/>
  <c r="FE148" i="136"/>
  <c r="FF148" i="136"/>
  <c r="FG148" i="136"/>
  <c r="FC149" i="136"/>
  <c r="FD149" i="136"/>
  <c r="FE149" i="136"/>
  <c r="FF149" i="136"/>
  <c r="FG149" i="136"/>
  <c r="FC150" i="136"/>
  <c r="FD150" i="136"/>
  <c r="FE150" i="136"/>
  <c r="FF150" i="136"/>
  <c r="FG150" i="136"/>
  <c r="FC151" i="136"/>
  <c r="FD151" i="136"/>
  <c r="FE151" i="136"/>
  <c r="FF151" i="136"/>
  <c r="FG151" i="136"/>
  <c r="FC152" i="136"/>
  <c r="FD152" i="136"/>
  <c r="FE152" i="136"/>
  <c r="FF152" i="136"/>
  <c r="FG152" i="136"/>
  <c r="FC153" i="136"/>
  <c r="FD153" i="136"/>
  <c r="FE153" i="136"/>
  <c r="FF153" i="136"/>
  <c r="FG153" i="136"/>
  <c r="FC154" i="136"/>
  <c r="FD154" i="136"/>
  <c r="FE154" i="136"/>
  <c r="FF154" i="136"/>
  <c r="FG154" i="136"/>
  <c r="FC155" i="136"/>
  <c r="FD155" i="136"/>
  <c r="FE155" i="136"/>
  <c r="FF155" i="136"/>
  <c r="FG155" i="136"/>
  <c r="FC156" i="136"/>
  <c r="FD156" i="136"/>
  <c r="FE156" i="136"/>
  <c r="FF156" i="136"/>
  <c r="FG156" i="136"/>
  <c r="FC157" i="136"/>
  <c r="FD157" i="136"/>
  <c r="FE157" i="136"/>
  <c r="FF157" i="136"/>
  <c r="FG157" i="136"/>
  <c r="FC158" i="136"/>
  <c r="FD158" i="136"/>
  <c r="FE158" i="136"/>
  <c r="FF158" i="136"/>
  <c r="FG158" i="136"/>
  <c r="FC159" i="136"/>
  <c r="FD159" i="136"/>
  <c r="FE159" i="136"/>
  <c r="FF159" i="136"/>
  <c r="FG159" i="136"/>
  <c r="FC160" i="136"/>
  <c r="FD160" i="136"/>
  <c r="FE160" i="136"/>
  <c r="FF160" i="136"/>
  <c r="FG160" i="136"/>
  <c r="FC161" i="136"/>
  <c r="FD161" i="136"/>
  <c r="FE161" i="136"/>
  <c r="FF161" i="136"/>
  <c r="FG161" i="136"/>
  <c r="FC162" i="136"/>
  <c r="FD162" i="136"/>
  <c r="FE162" i="136"/>
  <c r="FF162" i="136"/>
  <c r="FG162" i="136"/>
  <c r="FC163" i="136"/>
  <c r="FD163" i="136"/>
  <c r="FE163" i="136"/>
  <c r="FF163" i="136"/>
  <c r="FG163" i="136"/>
  <c r="FC164" i="136"/>
  <c r="FD164" i="136"/>
  <c r="FE164" i="136"/>
  <c r="FF164" i="136"/>
  <c r="FG164" i="136"/>
  <c r="FC165" i="136"/>
  <c r="FD165" i="136"/>
  <c r="FE165" i="136"/>
  <c r="FF165" i="136"/>
  <c r="FG165" i="136"/>
  <c r="FC166" i="136"/>
  <c r="FD166" i="136"/>
  <c r="FE166" i="136"/>
  <c r="FF166" i="136"/>
  <c r="FG166" i="136"/>
  <c r="FC167" i="136"/>
  <c r="FD167" i="136"/>
  <c r="FE167" i="136"/>
  <c r="FF167" i="136"/>
  <c r="FG167" i="136"/>
  <c r="FC168" i="136"/>
  <c r="FD168" i="136"/>
  <c r="FE168" i="136"/>
  <c r="FF168" i="136"/>
  <c r="FG168" i="136"/>
  <c r="FC169" i="136"/>
  <c r="FD169" i="136"/>
  <c r="FE169" i="136"/>
  <c r="FF169" i="136"/>
  <c r="FG169" i="136"/>
  <c r="FC170" i="136"/>
  <c r="FD170" i="136"/>
  <c r="FE170" i="136"/>
  <c r="FF170" i="136"/>
  <c r="FG170" i="136"/>
  <c r="FC171" i="136"/>
  <c r="FD171" i="136"/>
  <c r="FE171" i="136"/>
  <c r="FF171" i="136"/>
  <c r="FG171" i="136"/>
  <c r="FC172" i="136"/>
  <c r="FD172" i="136"/>
  <c r="FE172" i="136"/>
  <c r="FF172" i="136"/>
  <c r="FG172" i="136"/>
  <c r="FC173" i="136"/>
  <c r="FD173" i="136"/>
  <c r="FE173" i="136"/>
  <c r="FF173" i="136"/>
  <c r="FG173" i="136"/>
  <c r="FC174" i="136"/>
  <c r="FD174" i="136"/>
  <c r="FE174" i="136"/>
  <c r="FF174" i="136"/>
  <c r="FG174" i="136"/>
  <c r="FC175" i="136"/>
  <c r="FD175" i="136"/>
  <c r="FE175" i="136"/>
  <c r="FF175" i="136"/>
  <c r="FG175" i="136"/>
  <c r="FC176" i="136"/>
  <c r="FD176" i="136"/>
  <c r="FE176" i="136"/>
  <c r="FF176" i="136"/>
  <c r="FG176" i="136"/>
  <c r="FC177" i="136"/>
  <c r="FD177" i="136"/>
  <c r="FE177" i="136"/>
  <c r="FF177" i="136"/>
  <c r="FG177" i="136"/>
  <c r="FC178" i="136"/>
  <c r="FD178" i="136"/>
  <c r="FE178" i="136"/>
  <c r="FF178" i="136"/>
  <c r="FG178" i="136"/>
  <c r="FC179" i="136"/>
  <c r="FD179" i="136"/>
  <c r="FE179" i="136"/>
  <c r="FF179" i="136"/>
  <c r="FG179" i="136"/>
  <c r="FC180" i="136"/>
  <c r="FD180" i="136"/>
  <c r="FE180" i="136"/>
  <c r="FF180" i="136"/>
  <c r="FG180" i="136"/>
  <c r="FC181" i="136"/>
  <c r="FD181" i="136"/>
  <c r="FE181" i="136"/>
  <c r="FF181" i="136"/>
  <c r="FG181" i="136"/>
  <c r="FC182" i="136"/>
  <c r="FD182" i="136"/>
  <c r="FE182" i="136"/>
  <c r="FF182" i="136"/>
  <c r="FG182" i="136"/>
  <c r="FC183" i="136"/>
  <c r="FD183" i="136"/>
  <c r="FE183" i="136"/>
  <c r="FF183" i="136"/>
  <c r="FG183" i="136"/>
  <c r="FC184" i="136"/>
  <c r="FD184" i="136"/>
  <c r="FE184" i="136"/>
  <c r="FF184" i="136"/>
  <c r="FG184" i="136"/>
  <c r="FC185" i="136"/>
  <c r="FD185" i="136"/>
  <c r="FE185" i="136"/>
  <c r="FF185" i="136"/>
  <c r="FG185" i="136"/>
  <c r="FC186" i="136"/>
  <c r="FD186" i="136"/>
  <c r="FE186" i="136"/>
  <c r="FF186" i="136"/>
  <c r="FG186" i="136"/>
  <c r="FC187" i="136"/>
  <c r="FD187" i="136"/>
  <c r="FE187" i="136"/>
  <c r="FF187" i="136"/>
  <c r="FG187" i="136"/>
  <c r="FC188" i="136"/>
  <c r="FD188" i="136"/>
  <c r="FE188" i="136"/>
  <c r="FF188" i="136"/>
  <c r="FG188" i="136"/>
  <c r="FC189" i="136"/>
  <c r="FD189" i="136"/>
  <c r="FE189" i="136"/>
  <c r="FF189" i="136"/>
  <c r="FG189" i="136"/>
  <c r="FC190" i="136"/>
  <c r="FD190" i="136"/>
  <c r="FE190" i="136"/>
  <c r="FF190" i="136"/>
  <c r="FG190" i="136"/>
  <c r="FC191" i="136"/>
  <c r="FD191" i="136"/>
  <c r="FE191" i="136"/>
  <c r="FF191" i="136"/>
  <c r="FG191" i="136"/>
  <c r="FC192" i="136"/>
  <c r="FD192" i="136"/>
  <c r="FE192" i="136"/>
  <c r="FF192" i="136"/>
  <c r="FG192" i="136"/>
  <c r="FC193" i="136"/>
  <c r="FD193" i="136"/>
  <c r="FE193" i="136"/>
  <c r="FF193" i="136"/>
  <c r="FG193" i="136"/>
  <c r="FC194" i="136"/>
  <c r="FD194" i="136"/>
  <c r="FE194" i="136"/>
  <c r="FF194" i="136"/>
  <c r="FG194" i="136"/>
  <c r="FC195" i="136"/>
  <c r="FD195" i="136"/>
  <c r="FE195" i="136"/>
  <c r="FF195" i="136"/>
  <c r="FG195" i="136"/>
  <c r="FC196" i="136"/>
  <c r="FD196" i="136"/>
  <c r="FE196" i="136"/>
  <c r="FF196" i="136"/>
  <c r="FG196" i="136"/>
  <c r="FC197" i="136"/>
  <c r="FD197" i="136"/>
  <c r="FE197" i="136"/>
  <c r="FF197" i="136"/>
  <c r="FG197" i="136"/>
  <c r="FC198" i="136"/>
  <c r="FD198" i="136"/>
  <c r="FE198" i="136"/>
  <c r="FF198" i="136"/>
  <c r="FG198" i="136"/>
  <c r="FC199" i="136"/>
  <c r="FD199" i="136"/>
  <c r="FE199" i="136"/>
  <c r="FF199" i="136"/>
  <c r="FG199" i="136"/>
  <c r="FC200" i="136"/>
  <c r="FD200" i="136"/>
  <c r="FE200" i="136"/>
  <c r="FF200" i="136"/>
  <c r="FG200" i="136"/>
  <c r="FC201" i="136"/>
  <c r="FD201" i="136"/>
  <c r="FE201" i="136"/>
  <c r="FF201" i="136"/>
  <c r="FG201" i="136"/>
  <c r="FC202" i="136"/>
  <c r="FD202" i="136"/>
  <c r="FE202" i="136"/>
  <c r="FF202" i="136"/>
  <c r="FG202" i="136"/>
  <c r="FC203" i="136"/>
  <c r="FD203" i="136"/>
  <c r="FE203" i="136"/>
  <c r="FF203" i="136"/>
  <c r="FG203" i="136"/>
  <c r="FC204" i="136"/>
  <c r="FD204" i="136"/>
  <c r="FE204" i="136"/>
  <c r="FF204" i="136"/>
  <c r="FG204" i="136"/>
  <c r="FC205" i="136"/>
  <c r="FD205" i="136"/>
  <c r="FE205" i="136"/>
  <c r="FF205" i="136"/>
  <c r="FG205" i="136"/>
  <c r="FC206" i="136"/>
  <c r="FD206" i="136"/>
  <c r="FE206" i="136"/>
  <c r="FF206" i="136"/>
  <c r="FG206" i="136"/>
  <c r="FC207" i="136"/>
  <c r="FD207" i="136"/>
  <c r="FE207" i="136"/>
  <c r="FF207" i="136"/>
  <c r="FG207" i="136"/>
  <c r="FC208" i="136"/>
  <c r="FD208" i="136"/>
  <c r="FE208" i="136"/>
  <c r="FF208" i="136"/>
  <c r="FG208" i="136"/>
  <c r="FC209" i="136"/>
  <c r="FD209" i="136"/>
  <c r="FE209" i="136"/>
  <c r="FF209" i="136"/>
  <c r="FG209" i="136"/>
  <c r="FC210" i="136"/>
  <c r="FD210" i="136"/>
  <c r="FE210" i="136"/>
  <c r="FF210" i="136"/>
  <c r="FG210" i="136"/>
  <c r="FC211" i="136"/>
  <c r="FD211" i="136"/>
  <c r="FE211" i="136"/>
  <c r="FF211" i="136"/>
  <c r="FG211" i="136"/>
  <c r="FC212" i="136"/>
  <c r="FD212" i="136"/>
  <c r="FE212" i="136"/>
  <c r="FF212" i="136"/>
  <c r="FG212" i="136"/>
  <c r="FC213" i="136"/>
  <c r="FD213" i="136"/>
  <c r="FE213" i="136"/>
  <c r="FF213" i="136"/>
  <c r="FG213" i="136"/>
  <c r="FC214" i="136"/>
  <c r="FD214" i="136"/>
  <c r="FE214" i="136"/>
  <c r="FF214" i="136"/>
  <c r="FG214" i="136"/>
  <c r="FC215" i="136"/>
  <c r="FD215" i="136"/>
  <c r="FE215" i="136"/>
  <c r="FF215" i="136"/>
  <c r="FG215" i="136"/>
  <c r="FC216" i="136"/>
  <c r="FD216" i="136"/>
  <c r="FE216" i="136"/>
  <c r="FF216" i="136"/>
  <c r="FG216" i="136"/>
  <c r="FC217" i="136"/>
  <c r="FD217" i="136"/>
  <c r="FE217" i="136"/>
  <c r="FF217" i="136"/>
  <c r="FG217" i="136"/>
  <c r="FC218" i="136"/>
  <c r="FD218" i="136"/>
  <c r="FE218" i="136"/>
  <c r="FF218" i="136"/>
  <c r="FG218" i="136"/>
  <c r="FC219" i="136"/>
  <c r="FD219" i="136"/>
  <c r="FE219" i="136"/>
  <c r="FF219" i="136"/>
  <c r="FG219" i="136"/>
  <c r="FC220" i="136"/>
  <c r="FD220" i="136"/>
  <c r="FE220" i="136"/>
  <c r="FF220" i="136"/>
  <c r="FG220" i="136"/>
  <c r="FC221" i="136"/>
  <c r="FD221" i="136"/>
  <c r="FE221" i="136"/>
  <c r="FF221" i="136"/>
  <c r="FG221" i="136"/>
  <c r="FC222" i="136"/>
  <c r="FD222" i="136"/>
  <c r="FE222" i="136"/>
  <c r="FF222" i="136"/>
  <c r="FG222" i="136"/>
  <c r="FC223" i="136"/>
  <c r="FD223" i="136"/>
  <c r="FE223" i="136"/>
  <c r="FF223" i="136"/>
  <c r="FG223" i="136"/>
  <c r="FG3" i="136"/>
  <c r="FD3" i="136"/>
  <c r="FE3" i="136"/>
  <c r="FF3" i="136"/>
  <c r="FC3" i="136"/>
  <c r="ET4" i="136"/>
  <c r="AF11" i="4" s="1"/>
  <c r="ET5" i="136"/>
  <c r="AF12" i="4" s="1"/>
  <c r="ET6" i="136"/>
  <c r="AF13" i="4" s="1"/>
  <c r="ET7" i="136"/>
  <c r="AF14" i="4" s="1"/>
  <c r="ET8" i="136"/>
  <c r="AF15" i="4" s="1"/>
  <c r="ET9" i="136"/>
  <c r="AF17" i="4" s="1"/>
  <c r="ET10" i="136"/>
  <c r="AF18" i="4" s="1"/>
  <c r="ET11" i="136"/>
  <c r="AF19" i="4" s="1"/>
  <c r="ET12" i="136"/>
  <c r="AF20" i="4" s="1"/>
  <c r="ET13" i="136"/>
  <c r="AF21" i="4" s="1"/>
  <c r="ET14" i="136"/>
  <c r="AF23" i="4" s="1"/>
  <c r="ET15" i="136"/>
  <c r="AF26" i="4" s="1"/>
  <c r="ET16" i="136"/>
  <c r="AF27" i="4" s="1"/>
  <c r="ET17" i="136"/>
  <c r="AF28" i="4" s="1"/>
  <c r="ET18" i="136"/>
  <c r="AF33" i="4" s="1"/>
  <c r="ET19" i="136"/>
  <c r="AF34" i="4" s="1"/>
  <c r="ET20" i="136"/>
  <c r="AF36" i="4" s="1"/>
  <c r="ET21" i="136"/>
  <c r="AF42" i="4" s="1"/>
  <c r="ET22" i="136"/>
  <c r="AF43" i="4" s="1"/>
  <c r="ET23" i="136"/>
  <c r="AF44" i="4" s="1"/>
  <c r="ET24" i="136"/>
  <c r="AF45" i="4" s="1"/>
  <c r="ET25" i="136"/>
  <c r="AF46" i="4" s="1"/>
  <c r="ET26" i="136"/>
  <c r="AF47" i="4" s="1"/>
  <c r="ET27" i="136"/>
  <c r="AF49" i="4" s="1"/>
  <c r="ET28" i="136"/>
  <c r="AF50" i="4" s="1"/>
  <c r="ET29" i="136"/>
  <c r="AF51" i="4" s="1"/>
  <c r="ET30" i="136"/>
  <c r="AF54" i="4" s="1"/>
  <c r="ET31" i="136"/>
  <c r="AF57" i="4" s="1"/>
  <c r="ET32" i="136"/>
  <c r="AF58" i="4" s="1"/>
  <c r="ET33" i="136"/>
  <c r="AF59" i="4" s="1"/>
  <c r="ET34" i="136"/>
  <c r="AF64" i="4" s="1"/>
  <c r="ET35" i="136"/>
  <c r="AF65" i="4" s="1"/>
  <c r="ET36" i="136"/>
  <c r="AF66" i="4" s="1"/>
  <c r="ET37" i="136"/>
  <c r="AF67" i="4" s="1"/>
  <c r="ET38" i="136"/>
  <c r="AF73" i="4" s="1"/>
  <c r="ET39" i="136"/>
  <c r="AF74" i="4" s="1"/>
  <c r="ET40" i="136"/>
  <c r="AF75" i="4" s="1"/>
  <c r="ET41" i="136"/>
  <c r="AF76" i="4" s="1"/>
  <c r="ET42" i="136"/>
  <c r="AF77" i="4" s="1"/>
  <c r="ET43" i="136"/>
  <c r="AF80" i="4" s="1"/>
  <c r="ET44" i="136"/>
  <c r="AF83" i="4" s="1"/>
  <c r="ET45" i="136"/>
  <c r="AF85" i="4" s="1"/>
  <c r="ET46" i="136"/>
  <c r="AF87" i="4" s="1"/>
  <c r="ET47" i="136"/>
  <c r="AF88" i="4" s="1"/>
  <c r="ET48" i="136"/>
  <c r="AF89" i="4" s="1"/>
  <c r="ET49" i="136"/>
  <c r="AF90" i="4" s="1"/>
  <c r="ET50" i="136"/>
  <c r="AF96" i="4" s="1"/>
  <c r="ET51" i="136"/>
  <c r="AF97" i="4" s="1"/>
  <c r="ET52" i="136"/>
  <c r="AF98" i="4" s="1"/>
  <c r="ET53" i="136"/>
  <c r="AF99" i="4" s="1"/>
  <c r="ET54" i="136"/>
  <c r="AF100" i="4" s="1"/>
  <c r="ET55" i="136"/>
  <c r="AF101" i="4" s="1"/>
  <c r="ET56" i="136"/>
  <c r="AF103" i="4" s="1"/>
  <c r="ET57" i="136"/>
  <c r="AF104" i="4" s="1"/>
  <c r="ET58" i="136"/>
  <c r="AF105" i="4" s="1"/>
  <c r="ET59" i="136"/>
  <c r="AF106" i="4" s="1"/>
  <c r="ET60" i="136"/>
  <c r="AF107" i="4" s="1"/>
  <c r="ET61" i="136"/>
  <c r="AF108" i="4" s="1"/>
  <c r="ET62" i="136"/>
  <c r="AF111" i="4" s="1"/>
  <c r="ET63" i="136"/>
  <c r="AF112" i="4" s="1"/>
  <c r="ET64" i="136"/>
  <c r="AF113" i="4" s="1"/>
  <c r="ET65" i="136"/>
  <c r="AF114" i="4" s="1"/>
  <c r="ET66" i="136"/>
  <c r="AF116" i="4" s="1"/>
  <c r="ET67" i="136"/>
  <c r="AF118" i="4" s="1"/>
  <c r="ET68" i="136"/>
  <c r="AF120" i="4" s="1"/>
  <c r="ET69" i="136"/>
  <c r="AF121" i="4" s="1"/>
  <c r="ET70" i="136"/>
  <c r="AF123" i="4" s="1"/>
  <c r="ET71" i="136"/>
  <c r="AF124" i="4" s="1"/>
  <c r="ET72" i="136"/>
  <c r="AF125" i="4" s="1"/>
  <c r="ET73" i="136"/>
  <c r="AF127" i="4" s="1"/>
  <c r="ET74" i="136"/>
  <c r="AF128" i="4" s="1"/>
  <c r="ET75" i="136"/>
  <c r="AF130" i="4" s="1"/>
  <c r="ET76" i="136"/>
  <c r="AF131" i="4" s="1"/>
  <c r="ET77" i="136"/>
  <c r="AF132" i="4" s="1"/>
  <c r="ET78" i="136"/>
  <c r="AF133" i="4" s="1"/>
  <c r="ET79" i="136"/>
  <c r="AF134" i="4" s="1"/>
  <c r="ET80" i="136"/>
  <c r="AF135" i="4" s="1"/>
  <c r="ET81" i="136"/>
  <c r="AF136" i="4" s="1"/>
  <c r="ET82" i="136"/>
  <c r="AF138" i="4" s="1"/>
  <c r="ET83" i="136"/>
  <c r="AF139" i="4" s="1"/>
  <c r="ET84" i="136"/>
  <c r="AF140" i="4" s="1"/>
  <c r="ET85" i="136"/>
  <c r="AF141" i="4" s="1"/>
  <c r="ET86" i="136"/>
  <c r="AF142" i="4" s="1"/>
  <c r="ET87" i="136"/>
  <c r="AF143" i="4" s="1"/>
  <c r="ET88" i="136"/>
  <c r="AF144" i="4" s="1"/>
  <c r="ET89" i="136"/>
  <c r="AF145" i="4" s="1"/>
  <c r="ET90" i="136"/>
  <c r="AF153" i="4" s="1"/>
  <c r="ET91" i="136"/>
  <c r="AF162" i="4" s="1"/>
  <c r="ET92" i="136"/>
  <c r="AF169" i="4" s="1"/>
  <c r="ET93" i="136"/>
  <c r="AF182" i="4" s="1"/>
  <c r="ET94" i="136"/>
  <c r="AF183" i="4" s="1"/>
  <c r="ET95" i="136"/>
  <c r="AF184" i="4" s="1"/>
  <c r="ET96" i="136"/>
  <c r="ET97" i="136"/>
  <c r="AF186" i="4" s="1"/>
  <c r="ET98" i="136"/>
  <c r="AF189" i="4" s="1"/>
  <c r="ET99" i="136"/>
  <c r="AF191" i="4" s="1"/>
  <c r="ET100" i="136"/>
  <c r="AF197" i="4" s="1"/>
  <c r="ET101" i="136"/>
  <c r="AF198" i="4" s="1"/>
  <c r="ET102" i="136"/>
  <c r="AF200" i="4" s="1"/>
  <c r="ET103" i="136"/>
  <c r="AF201" i="4" s="1"/>
  <c r="ET104" i="136"/>
  <c r="AF202" i="4" s="1"/>
  <c r="ET3" i="136"/>
  <c r="AF10" i="4" s="1"/>
  <c r="H59" i="54" l="1"/>
  <c r="H47" i="37"/>
  <c r="H54" i="37"/>
  <c r="H60" i="37"/>
  <c r="H15" i="37"/>
  <c r="H53" i="37"/>
  <c r="H21" i="37"/>
  <c r="H36" i="37"/>
  <c r="H35" i="37" s="1"/>
  <c r="H52" i="37"/>
  <c r="H56" i="37"/>
  <c r="H18" i="37"/>
  <c r="H44" i="37"/>
  <c r="H49" i="37"/>
  <c r="H51" i="37"/>
  <c r="H25" i="37"/>
  <c r="H57" i="37"/>
  <c r="H45" i="37"/>
  <c r="L214" i="39"/>
  <c r="H46" i="37"/>
  <c r="H50" i="37"/>
  <c r="H58" i="37"/>
  <c r="R13" i="35"/>
  <c r="S62" i="35"/>
  <c r="S61" i="35" s="1"/>
  <c r="H15" i="35"/>
  <c r="K16" i="35"/>
  <c r="O18" i="35"/>
  <c r="H48" i="35"/>
  <c r="H16" i="35"/>
  <c r="H58" i="35"/>
  <c r="O19" i="35"/>
  <c r="H52" i="35"/>
  <c r="H24" i="35"/>
  <c r="H23" i="35"/>
  <c r="I212" i="39"/>
  <c r="H51" i="35"/>
  <c r="H57" i="35"/>
  <c r="H39" i="35"/>
  <c r="M17" i="35"/>
  <c r="H22" i="35"/>
  <c r="H62" i="35"/>
  <c r="M43" i="35"/>
  <c r="H49" i="35"/>
  <c r="H59" i="35"/>
  <c r="H50" i="35"/>
  <c r="M16" i="35"/>
  <c r="M15" i="35"/>
  <c r="N48" i="35"/>
  <c r="O48" i="35" s="1"/>
  <c r="M51" i="35"/>
  <c r="M50" i="35"/>
  <c r="H212" i="39"/>
  <c r="M49" i="35"/>
  <c r="Q212" i="39"/>
  <c r="R212" i="39" s="1"/>
  <c r="AF47" i="35"/>
  <c r="AF46" i="35" s="1"/>
  <c r="L212" i="39"/>
  <c r="P115" i="4"/>
  <c r="G145" i="140"/>
  <c r="J18" i="37"/>
  <c r="J49" i="37"/>
  <c r="J60" i="37"/>
  <c r="J46" i="37"/>
  <c r="J16" i="37"/>
  <c r="J14" i="37" s="1"/>
  <c r="R14" i="35"/>
  <c r="P156" i="39"/>
  <c r="Q156" i="39"/>
  <c r="I29" i="37"/>
  <c r="S42" i="37"/>
  <c r="S38" i="37" s="1"/>
  <c r="S11" i="37" s="1"/>
  <c r="L59" i="37"/>
  <c r="I47" i="35"/>
  <c r="M47" i="35" s="1"/>
  <c r="L21" i="35"/>
  <c r="K15" i="35"/>
  <c r="O16" i="35"/>
  <c r="S14" i="35"/>
  <c r="S13" i="35" s="1"/>
  <c r="J18" i="35"/>
  <c r="L14" i="35"/>
  <c r="M52" i="35"/>
  <c r="S27" i="35"/>
  <c r="J27" i="35" s="1"/>
  <c r="I50" i="4"/>
  <c r="I35" i="4"/>
  <c r="I13" i="4"/>
  <c r="I62" i="4"/>
  <c r="F145" i="140"/>
  <c r="I26" i="4"/>
  <c r="I36" i="4"/>
  <c r="I145" i="140"/>
  <c r="T139" i="4"/>
  <c r="I41" i="4"/>
  <c r="H145" i="140"/>
  <c r="I12" i="4"/>
  <c r="I27" i="4"/>
  <c r="I71" i="4"/>
  <c r="I83" i="4"/>
  <c r="I30" i="4"/>
  <c r="I144" i="4"/>
  <c r="T198" i="4"/>
  <c r="T190" i="4"/>
  <c r="T188" i="4"/>
  <c r="T180" i="4"/>
  <c r="T162" i="4"/>
  <c r="T150" i="4"/>
  <c r="T148" i="4"/>
  <c r="T18" i="4"/>
  <c r="K18" i="4" s="1"/>
  <c r="T10" i="4"/>
  <c r="I206" i="4"/>
  <c r="I204" i="4"/>
  <c r="I190" i="4"/>
  <c r="I188" i="4"/>
  <c r="I186" i="4"/>
  <c r="N184" i="4"/>
  <c r="I184" i="4"/>
  <c r="I182" i="4"/>
  <c r="I180" i="4"/>
  <c r="I162" i="4"/>
  <c r="I152" i="4"/>
  <c r="I150" i="4"/>
  <c r="I148" i="4"/>
  <c r="I142" i="4"/>
  <c r="I137" i="4"/>
  <c r="I135" i="4"/>
  <c r="I133" i="4"/>
  <c r="I131" i="4"/>
  <c r="I129" i="4"/>
  <c r="I127" i="4"/>
  <c r="I124" i="4"/>
  <c r="I122" i="4"/>
  <c r="I120" i="4"/>
  <c r="I116" i="4"/>
  <c r="I113" i="4"/>
  <c r="I111" i="4"/>
  <c r="I109" i="4"/>
  <c r="I107" i="4"/>
  <c r="I105" i="4"/>
  <c r="I103" i="4"/>
  <c r="I101" i="4"/>
  <c r="I93" i="4"/>
  <c r="I90" i="4"/>
  <c r="I86" i="4"/>
  <c r="I77" i="4"/>
  <c r="I73" i="4"/>
  <c r="I69" i="4"/>
  <c r="I65" i="4"/>
  <c r="I60" i="4"/>
  <c r="I54" i="4"/>
  <c r="I52" i="4"/>
  <c r="I47" i="4"/>
  <c r="I43" i="4"/>
  <c r="I39" i="4"/>
  <c r="I22" i="4"/>
  <c r="I20" i="4"/>
  <c r="I18" i="4"/>
  <c r="I16" i="4"/>
  <c r="T206" i="4"/>
  <c r="I139" i="4"/>
  <c r="I14" i="4"/>
  <c r="I28" i="4"/>
  <c r="I33" i="4"/>
  <c r="I37" i="4"/>
  <c r="I45" i="4"/>
  <c r="I58" i="4"/>
  <c r="I67" i="4"/>
  <c r="I75" i="4"/>
  <c r="I88" i="4"/>
  <c r="I140" i="4"/>
  <c r="T207" i="4"/>
  <c r="T205" i="4"/>
  <c r="T203" i="4"/>
  <c r="T197" i="4"/>
  <c r="T187" i="4"/>
  <c r="T185" i="4"/>
  <c r="T183" i="4"/>
  <c r="T181" i="4"/>
  <c r="T163" i="4"/>
  <c r="T153" i="4"/>
  <c r="T151" i="4"/>
  <c r="T149" i="4"/>
  <c r="T145" i="4"/>
  <c r="T125" i="4"/>
  <c r="T59" i="4"/>
  <c r="T36" i="4"/>
  <c r="I11" i="4"/>
  <c r="I15" i="4"/>
  <c r="I29" i="4"/>
  <c r="I34" i="4"/>
  <c r="I141" i="4"/>
  <c r="I207" i="4"/>
  <c r="I205" i="4"/>
  <c r="I203" i="4"/>
  <c r="I187" i="4"/>
  <c r="I183" i="4"/>
  <c r="I181" i="4"/>
  <c r="I163" i="4"/>
  <c r="I153" i="4"/>
  <c r="I151" i="4"/>
  <c r="I149" i="4"/>
  <c r="I136" i="4"/>
  <c r="I134" i="4"/>
  <c r="I132" i="4"/>
  <c r="I130" i="4"/>
  <c r="I128" i="4"/>
  <c r="I125" i="4"/>
  <c r="I123" i="4"/>
  <c r="I121" i="4"/>
  <c r="I118" i="4"/>
  <c r="I114" i="4"/>
  <c r="I112" i="4"/>
  <c r="I110" i="4"/>
  <c r="I108" i="4"/>
  <c r="I106" i="4"/>
  <c r="I102" i="4"/>
  <c r="I98" i="4"/>
  <c r="I95" i="4"/>
  <c r="N91" i="4"/>
  <c r="I91" i="4"/>
  <c r="H91" i="39" s="1"/>
  <c r="I87" i="4"/>
  <c r="I74" i="4"/>
  <c r="I66" i="4"/>
  <c r="I57" i="4"/>
  <c r="I53" i="4"/>
  <c r="I46" i="4"/>
  <c r="I38" i="4"/>
  <c r="I23" i="4"/>
  <c r="I21" i="4"/>
  <c r="I19" i="4"/>
  <c r="I17" i="4"/>
  <c r="I143" i="4"/>
  <c r="I97" i="4"/>
  <c r="U199" i="4"/>
  <c r="U205" i="4"/>
  <c r="U197" i="4"/>
  <c r="U202" i="4"/>
  <c r="U200" i="4"/>
  <c r="T53" i="4"/>
  <c r="T135" i="4"/>
  <c r="T69" i="4"/>
  <c r="T80" i="4"/>
  <c r="T182" i="4"/>
  <c r="T140" i="4"/>
  <c r="T137" i="4"/>
  <c r="T131" i="4"/>
  <c r="T122" i="4"/>
  <c r="T90" i="4"/>
  <c r="T83" i="4"/>
  <c r="T75" i="4"/>
  <c r="T71" i="4"/>
  <c r="T11" i="4"/>
  <c r="T129" i="4"/>
  <c r="T127" i="4"/>
  <c r="T120" i="4"/>
  <c r="T109" i="4"/>
  <c r="T107" i="4"/>
  <c r="T103" i="4"/>
  <c r="T101" i="4"/>
  <c r="T93" i="4"/>
  <c r="T77" i="4"/>
  <c r="T67" i="4"/>
  <c r="T60" i="4"/>
  <c r="T50" i="4"/>
  <c r="T43" i="4"/>
  <c r="T41" i="4"/>
  <c r="T39" i="4"/>
  <c r="T35" i="4"/>
  <c r="T33" i="4"/>
  <c r="T26" i="4"/>
  <c r="T22" i="4"/>
  <c r="T20" i="4"/>
  <c r="T12" i="4"/>
  <c r="T143" i="4"/>
  <c r="T141" i="4"/>
  <c r="T136" i="4"/>
  <c r="T134" i="4"/>
  <c r="T132" i="4"/>
  <c r="T130" i="4"/>
  <c r="T128" i="4"/>
  <c r="T123" i="4"/>
  <c r="T121" i="4"/>
  <c r="T118" i="4"/>
  <c r="T114" i="4"/>
  <c r="T112" i="4"/>
  <c r="T110" i="4"/>
  <c r="T106" i="4"/>
  <c r="T104" i="4"/>
  <c r="T102" i="4"/>
  <c r="T100" i="4"/>
  <c r="T98" i="4"/>
  <c r="T95" i="4"/>
  <c r="T91" i="4"/>
  <c r="T89" i="4"/>
  <c r="T87" i="4"/>
  <c r="T85" i="4"/>
  <c r="T76" i="4"/>
  <c r="T74" i="4"/>
  <c r="T72" i="4"/>
  <c r="T70" i="4"/>
  <c r="T68" i="4"/>
  <c r="T66" i="4"/>
  <c r="T64" i="4"/>
  <c r="T61" i="4"/>
  <c r="T57" i="4"/>
  <c r="T51" i="4"/>
  <c r="T49" i="4"/>
  <c r="T46" i="4"/>
  <c r="T42" i="4"/>
  <c r="T40" i="4"/>
  <c r="T38" i="4"/>
  <c r="T34" i="4"/>
  <c r="T31" i="4"/>
  <c r="T29" i="4"/>
  <c r="T27" i="4"/>
  <c r="T23" i="4"/>
  <c r="T21" i="4"/>
  <c r="T19" i="4"/>
  <c r="T17" i="4"/>
  <c r="K17" i="4" s="1"/>
  <c r="T15" i="4"/>
  <c r="K15" i="4" s="1"/>
  <c r="T13" i="4"/>
  <c r="K13" i="4" s="1"/>
  <c r="T16" i="4"/>
  <c r="K16" i="4" s="1"/>
  <c r="T99" i="4"/>
  <c r="T189" i="4"/>
  <c r="T116" i="4"/>
  <c r="T111" i="4"/>
  <c r="T88" i="4"/>
  <c r="T62" i="4"/>
  <c r="T58" i="4"/>
  <c r="T52" i="4"/>
  <c r="T47" i="4"/>
  <c r="T30" i="4"/>
  <c r="T14" i="4"/>
  <c r="K14" i="4" s="1"/>
  <c r="T44" i="4"/>
  <c r="T108" i="4"/>
  <c r="I43" i="37"/>
  <c r="H76" i="37" s="1"/>
  <c r="M33" i="54"/>
  <c r="O52" i="35"/>
  <c r="L219" i="39"/>
  <c r="L46" i="35"/>
  <c r="N79" i="4"/>
  <c r="M126" i="39"/>
  <c r="O126" i="4"/>
  <c r="GS22" i="137"/>
  <c r="AF24" i="35"/>
  <c r="AF21" i="35" s="1"/>
  <c r="N126" i="4"/>
  <c r="AF48" i="37"/>
  <c r="I79" i="39"/>
  <c r="M79" i="39" s="1"/>
  <c r="O79" i="4"/>
  <c r="L91" i="39"/>
  <c r="AF30" i="37"/>
  <c r="AF29" i="37"/>
  <c r="AF28" i="37" s="1"/>
  <c r="FT168" i="136"/>
  <c r="FS168" i="136"/>
  <c r="EE9" i="139"/>
  <c r="EG9" i="139"/>
  <c r="EF9" i="139"/>
  <c r="AF43" i="37"/>
  <c r="AF16" i="37"/>
  <c r="AF14" i="37" s="1"/>
  <c r="AF12" i="37" s="1"/>
  <c r="GI22" i="138"/>
  <c r="L16" i="37"/>
  <c r="L14" i="37" s="1"/>
  <c r="AE43" i="37"/>
  <c r="AE16" i="37"/>
  <c r="AE14" i="37" s="1"/>
  <c r="AE12" i="37" s="1"/>
  <c r="AF27" i="35"/>
  <c r="AF37" i="35"/>
  <c r="AF55" i="35"/>
  <c r="AF54" i="35" s="1"/>
  <c r="AF53" i="35" s="1"/>
  <c r="N29" i="35"/>
  <c r="GA14" i="137"/>
  <c r="N32" i="35"/>
  <c r="N28" i="35"/>
  <c r="N30" i="35"/>
  <c r="FR168" i="136"/>
  <c r="AG9" i="4"/>
  <c r="AE48" i="37"/>
  <c r="AE37" i="35"/>
  <c r="AE27" i="35"/>
  <c r="AE55" i="35"/>
  <c r="AE54" i="35" s="1"/>
  <c r="AE53" i="35" s="1"/>
  <c r="O165" i="4"/>
  <c r="O164" i="4"/>
  <c r="O55" i="4"/>
  <c r="AF9" i="4"/>
  <c r="O208" i="4"/>
  <c r="O25" i="4"/>
  <c r="O32" i="4"/>
  <c r="O48" i="4"/>
  <c r="O63" i="4"/>
  <c r="O78" i="4"/>
  <c r="O84" i="4"/>
  <c r="O117" i="4"/>
  <c r="O146" i="4"/>
  <c r="O154" i="4"/>
  <c r="O155" i="4"/>
  <c r="O156" i="4"/>
  <c r="O157" i="4"/>
  <c r="O158" i="4"/>
  <c r="O159" i="4"/>
  <c r="O160" i="4"/>
  <c r="O161" i="4"/>
  <c r="O173" i="4"/>
  <c r="O175" i="4"/>
  <c r="O177" i="4"/>
  <c r="O192" i="4"/>
  <c r="O193" i="4"/>
  <c r="J12" i="37" l="1"/>
  <c r="L12" i="37"/>
  <c r="H43" i="37"/>
  <c r="I24" i="37"/>
  <c r="I214" i="39"/>
  <c r="M214" i="39" s="1"/>
  <c r="K25" i="37"/>
  <c r="H24" i="37"/>
  <c r="H214" i="39"/>
  <c r="M25" i="37"/>
  <c r="M18" i="35"/>
  <c r="H14" i="35"/>
  <c r="H13" i="35" s="1"/>
  <c r="M19" i="35"/>
  <c r="I14" i="35"/>
  <c r="M14" i="35" s="1"/>
  <c r="M156" i="39" s="1"/>
  <c r="O17" i="35"/>
  <c r="K18" i="35"/>
  <c r="I44" i="35"/>
  <c r="M44" i="35" s="1"/>
  <c r="M45" i="35"/>
  <c r="H47" i="35"/>
  <c r="K17" i="35"/>
  <c r="M212" i="39"/>
  <c r="K19" i="35"/>
  <c r="O45" i="35"/>
  <c r="O212" i="39" s="1"/>
  <c r="N47" i="35"/>
  <c r="O47" i="35" s="1"/>
  <c r="Q211" i="39"/>
  <c r="R211" i="39" s="1"/>
  <c r="O16" i="4"/>
  <c r="N182" i="4"/>
  <c r="N183" i="4"/>
  <c r="O206" i="4"/>
  <c r="N185" i="4"/>
  <c r="L13" i="35"/>
  <c r="L156" i="39"/>
  <c r="J14" i="35"/>
  <c r="S20" i="35"/>
  <c r="P84" i="4"/>
  <c r="P192" i="4"/>
  <c r="P158" i="4"/>
  <c r="P78" i="4"/>
  <c r="P173" i="4"/>
  <c r="P155" i="4"/>
  <c r="P32" i="4"/>
  <c r="P169" i="4"/>
  <c r="P159" i="4"/>
  <c r="P55" i="4"/>
  <c r="P177" i="4"/>
  <c r="P63" i="4"/>
  <c r="P175" i="4"/>
  <c r="P156" i="4"/>
  <c r="P165" i="4"/>
  <c r="P170" i="4"/>
  <c r="P160" i="4"/>
  <c r="P117" i="4"/>
  <c r="P193" i="4"/>
  <c r="P163" i="4"/>
  <c r="P157" i="4"/>
  <c r="P164" i="4"/>
  <c r="P48" i="4"/>
  <c r="P154" i="4"/>
  <c r="P25" i="4"/>
  <c r="P161" i="4"/>
  <c r="P146" i="4"/>
  <c r="P208" i="4"/>
  <c r="P79" i="4"/>
  <c r="P126" i="4"/>
  <c r="M9" i="4"/>
  <c r="I9" i="4"/>
  <c r="O54" i="4"/>
  <c r="J9" i="4"/>
  <c r="O10" i="4"/>
  <c r="I213" i="39"/>
  <c r="O181" i="4"/>
  <c r="L150" i="39"/>
  <c r="N150" i="4"/>
  <c r="M150" i="39" s="1"/>
  <c r="I150" i="39"/>
  <c r="L150" i="4"/>
  <c r="K150" i="39" s="1"/>
  <c r="L213" i="39"/>
  <c r="N181" i="4"/>
  <c r="N180" i="4"/>
  <c r="O180" i="4"/>
  <c r="O91" i="4"/>
  <c r="I91" i="39"/>
  <c r="M91" i="39" s="1"/>
  <c r="H150" i="39"/>
  <c r="I219" i="39"/>
  <c r="M219" i="39" s="1"/>
  <c r="H213" i="39"/>
  <c r="T9" i="4"/>
  <c r="N126" i="39"/>
  <c r="O126" i="39" s="1"/>
  <c r="N79" i="39"/>
  <c r="O79" i="39" s="1"/>
  <c r="AF42" i="37"/>
  <c r="AF38" i="37" s="1"/>
  <c r="AF11" i="37" s="1"/>
  <c r="AF20" i="35"/>
  <c r="AF10" i="35" s="1"/>
  <c r="AF9" i="35" s="1"/>
  <c r="AE42" i="37"/>
  <c r="AE38" i="37" s="1"/>
  <c r="AE11" i="37" s="1"/>
  <c r="O185" i="4"/>
  <c r="AE20" i="35"/>
  <c r="AE10" i="35" s="1"/>
  <c r="AE9" i="35" s="1"/>
  <c r="O186" i="4"/>
  <c r="O197" i="4"/>
  <c r="L117" i="39"/>
  <c r="L25" i="39"/>
  <c r="L56" i="39"/>
  <c r="I307" i="39"/>
  <c r="I305" i="39"/>
  <c r="I227" i="39"/>
  <c r="L220" i="39"/>
  <c r="L206" i="39"/>
  <c r="L208" i="39"/>
  <c r="L210" i="39"/>
  <c r="L204" i="39"/>
  <c r="L187" i="39"/>
  <c r="I201" i="39"/>
  <c r="I204" i="39"/>
  <c r="I206" i="39"/>
  <c r="K206" i="39" s="1"/>
  <c r="I208" i="39"/>
  <c r="G209" i="39"/>
  <c r="K24" i="37" l="1"/>
  <c r="M24" i="37"/>
  <c r="I211" i="39"/>
  <c r="K214" i="39"/>
  <c r="O24" i="37"/>
  <c r="N214" i="39"/>
  <c r="O25" i="37"/>
  <c r="O214" i="39" s="1"/>
  <c r="H211" i="39"/>
  <c r="N44" i="35"/>
  <c r="O44" i="35" s="1"/>
  <c r="H156" i="39"/>
  <c r="I156" i="39"/>
  <c r="I13" i="35"/>
  <c r="M13" i="35" s="1"/>
  <c r="N14" i="35"/>
  <c r="O14" i="35" s="1"/>
  <c r="O156" i="39" s="1"/>
  <c r="N212" i="39"/>
  <c r="P206" i="4"/>
  <c r="P185" i="4"/>
  <c r="N150" i="39"/>
  <c r="M213" i="39"/>
  <c r="L211" i="39"/>
  <c r="P150" i="4"/>
  <c r="O150" i="39" s="1"/>
  <c r="N9" i="4"/>
  <c r="K14" i="35"/>
  <c r="K156" i="39" s="1"/>
  <c r="J156" i="39"/>
  <c r="J13" i="35"/>
  <c r="S10" i="35"/>
  <c r="S9" i="35" s="1"/>
  <c r="P152" i="4"/>
  <c r="P197" i="4"/>
  <c r="P91" i="4"/>
  <c r="P180" i="4"/>
  <c r="O211" i="39" s="1"/>
  <c r="N213" i="39"/>
  <c r="P181" i="4"/>
  <c r="O213" i="39" s="1"/>
  <c r="N91" i="39"/>
  <c r="O91" i="39" s="1"/>
  <c r="M208" i="39"/>
  <c r="M204" i="39"/>
  <c r="M206" i="39"/>
  <c r="K305" i="39"/>
  <c r="K307" i="39"/>
  <c r="P186" i="4"/>
  <c r="N219" i="39"/>
  <c r="O219" i="39" s="1"/>
  <c r="I252" i="39"/>
  <c r="I238" i="39"/>
  <c r="G163" i="4"/>
  <c r="I159" i="39"/>
  <c r="F119" i="39"/>
  <c r="F118" i="39"/>
  <c r="G68" i="4"/>
  <c r="G67" i="4"/>
  <c r="G66" i="4"/>
  <c r="G55" i="4"/>
  <c r="G54" i="4"/>
  <c r="G56" i="4"/>
  <c r="G25" i="4"/>
  <c r="G24" i="4"/>
  <c r="G23" i="4"/>
  <c r="EM3" i="136"/>
  <c r="EN3" i="136"/>
  <c r="EO3" i="136"/>
  <c r="M211" i="39" l="1"/>
  <c r="N156" i="39"/>
  <c r="N13" i="35"/>
  <c r="O13" i="35" s="1"/>
  <c r="N211" i="39"/>
  <c r="K13" i="35"/>
  <c r="EG3" i="136"/>
  <c r="EG4" i="136"/>
  <c r="EG5" i="136"/>
  <c r="EG6" i="136"/>
  <c r="EG7" i="136"/>
  <c r="EG8" i="136"/>
  <c r="EG9" i="136"/>
  <c r="EG10" i="136"/>
  <c r="EG11" i="136"/>
  <c r="EG12" i="136"/>
  <c r="EG13" i="136"/>
  <c r="EG14" i="136"/>
  <c r="EG15" i="136"/>
  <c r="EG16" i="136"/>
  <c r="EG17" i="136"/>
  <c r="EG18" i="136"/>
  <c r="AE28" i="4" s="1"/>
  <c r="EG19" i="136"/>
  <c r="EG20" i="136"/>
  <c r="EG21" i="136"/>
  <c r="EG22" i="136"/>
  <c r="EG23" i="136"/>
  <c r="EG24" i="136"/>
  <c r="EG25" i="136"/>
  <c r="EG26" i="136"/>
  <c r="EG27" i="136"/>
  <c r="EG28" i="136"/>
  <c r="EG29" i="136"/>
  <c r="EG30" i="136"/>
  <c r="EG31" i="136"/>
  <c r="EG32" i="136"/>
  <c r="EG33" i="136"/>
  <c r="EG34" i="136"/>
  <c r="EG35" i="136"/>
  <c r="EG36" i="136"/>
  <c r="EG37" i="136"/>
  <c r="EG38" i="136"/>
  <c r="EG39" i="136"/>
  <c r="EG40" i="136"/>
  <c r="EG41" i="136"/>
  <c r="EG42" i="136"/>
  <c r="EG43" i="136"/>
  <c r="EG44" i="136"/>
  <c r="EG45" i="136"/>
  <c r="EG46" i="136"/>
  <c r="EG47" i="136"/>
  <c r="EG48" i="136"/>
  <c r="AE80" i="4" s="1"/>
  <c r="EG49" i="136"/>
  <c r="AE83" i="4" s="1"/>
  <c r="EG50" i="136"/>
  <c r="EG51" i="136"/>
  <c r="EG52" i="136"/>
  <c r="EG53" i="136"/>
  <c r="EG54" i="136"/>
  <c r="EG55" i="136"/>
  <c r="EG56" i="136"/>
  <c r="EG57" i="136"/>
  <c r="EG58" i="136"/>
  <c r="EG59" i="136"/>
  <c r="EG60" i="136"/>
  <c r="EG61" i="136"/>
  <c r="EG62" i="136"/>
  <c r="EG63" i="136"/>
  <c r="EG64" i="136"/>
  <c r="EG65" i="136"/>
  <c r="EG66" i="136"/>
  <c r="EG67" i="136"/>
  <c r="EG68" i="136"/>
  <c r="EG69" i="136"/>
  <c r="EG70" i="136"/>
  <c r="EG71" i="136"/>
  <c r="EG72" i="136"/>
  <c r="EG73" i="136"/>
  <c r="EG74" i="136"/>
  <c r="EG75" i="136"/>
  <c r="EG76" i="136"/>
  <c r="EG77" i="136"/>
  <c r="EG78" i="136"/>
  <c r="EG79" i="136"/>
  <c r="EG80" i="136"/>
  <c r="EG81" i="136"/>
  <c r="EG82" i="136"/>
  <c r="EG83" i="136"/>
  <c r="EG84" i="136"/>
  <c r="EG85" i="136"/>
  <c r="EG86" i="136"/>
  <c r="EG87" i="136"/>
  <c r="EG88" i="136"/>
  <c r="EG89" i="136"/>
  <c r="EG90" i="136"/>
  <c r="EG91" i="136"/>
  <c r="EG92" i="136"/>
  <c r="EG93" i="136"/>
  <c r="EG94" i="136"/>
  <c r="EG95" i="136"/>
  <c r="EG96" i="136"/>
  <c r="EG97" i="136"/>
  <c r="EG98" i="136"/>
  <c r="EG99" i="136"/>
  <c r="EG100" i="136"/>
  <c r="EG101" i="136"/>
  <c r="EG102" i="136"/>
  <c r="EG103" i="136"/>
  <c r="EM4" i="136"/>
  <c r="EN4" i="136"/>
  <c r="EO4" i="136"/>
  <c r="EM5" i="136"/>
  <c r="EN5" i="136"/>
  <c r="EO5" i="136"/>
  <c r="EM6" i="136"/>
  <c r="EN6" i="136"/>
  <c r="EO6" i="136"/>
  <c r="EM7" i="136"/>
  <c r="EN7" i="136"/>
  <c r="EO7" i="136"/>
  <c r="EM8" i="136"/>
  <c r="EN8" i="136"/>
  <c r="EO8" i="136"/>
  <c r="EM9" i="136"/>
  <c r="EN9" i="136"/>
  <c r="EO9" i="136"/>
  <c r="EM10" i="136"/>
  <c r="EN10" i="136"/>
  <c r="EO10" i="136"/>
  <c r="EM11" i="136"/>
  <c r="EN11" i="136"/>
  <c r="EO11" i="136"/>
  <c r="EM12" i="136"/>
  <c r="EN12" i="136"/>
  <c r="EO12" i="136"/>
  <c r="EM13" i="136"/>
  <c r="EN13" i="136"/>
  <c r="EO13" i="136"/>
  <c r="EM14" i="136"/>
  <c r="EN14" i="136"/>
  <c r="EO14" i="136"/>
  <c r="EM15" i="136"/>
  <c r="EN15" i="136"/>
  <c r="EO15" i="136"/>
  <c r="EM16" i="136"/>
  <c r="EN16" i="136"/>
  <c r="EO16" i="136"/>
  <c r="EM17" i="136"/>
  <c r="P24" i="4" s="1"/>
  <c r="EN17" i="136"/>
  <c r="EO17" i="136"/>
  <c r="EM18" i="136"/>
  <c r="EN18" i="136"/>
  <c r="EO18" i="136"/>
  <c r="EM19" i="136"/>
  <c r="EN19" i="136"/>
  <c r="EO19" i="136"/>
  <c r="EM20" i="136"/>
  <c r="EN20" i="136"/>
  <c r="EO20" i="136"/>
  <c r="EM21" i="136"/>
  <c r="EN21" i="136"/>
  <c r="EO21" i="136"/>
  <c r="EM22" i="136"/>
  <c r="EN22" i="136"/>
  <c r="EO22" i="136"/>
  <c r="EM23" i="136"/>
  <c r="EN23" i="136"/>
  <c r="EO23" i="136"/>
  <c r="EM24" i="136"/>
  <c r="EN24" i="136"/>
  <c r="EO24" i="136"/>
  <c r="EM25" i="136"/>
  <c r="EN25" i="136"/>
  <c r="EO25" i="136"/>
  <c r="EM26" i="136"/>
  <c r="EN26" i="136"/>
  <c r="EO26" i="136"/>
  <c r="EM27" i="136"/>
  <c r="EN27" i="136"/>
  <c r="EO27" i="136"/>
  <c r="EM28" i="136"/>
  <c r="EN28" i="136"/>
  <c r="EO28" i="136"/>
  <c r="EM29" i="136"/>
  <c r="EN29" i="136"/>
  <c r="EO29" i="136"/>
  <c r="EM30" i="136"/>
  <c r="EN30" i="136"/>
  <c r="EO30" i="136"/>
  <c r="EM31" i="136"/>
  <c r="EN31" i="136"/>
  <c r="EO31" i="136"/>
  <c r="EM32" i="136"/>
  <c r="EN32" i="136"/>
  <c r="EO32" i="136"/>
  <c r="EM33" i="136"/>
  <c r="EN33" i="136"/>
  <c r="EO33" i="136"/>
  <c r="EM34" i="136"/>
  <c r="EN34" i="136"/>
  <c r="EO34" i="136"/>
  <c r="EM35" i="136"/>
  <c r="EN35" i="136"/>
  <c r="EO35" i="136"/>
  <c r="EM36" i="136"/>
  <c r="EN36" i="136"/>
  <c r="EO36" i="136"/>
  <c r="EM37" i="136"/>
  <c r="EN37" i="136"/>
  <c r="EO37" i="136"/>
  <c r="EM38" i="136"/>
  <c r="EN38" i="136"/>
  <c r="EO38" i="136"/>
  <c r="EM39" i="136"/>
  <c r="EN39" i="136"/>
  <c r="EO39" i="136"/>
  <c r="EM40" i="136"/>
  <c r="EN40" i="136"/>
  <c r="EO40" i="136"/>
  <c r="EM41" i="136"/>
  <c r="EN41" i="136"/>
  <c r="EO41" i="136"/>
  <c r="EM42" i="136"/>
  <c r="EN42" i="136"/>
  <c r="EO42" i="136"/>
  <c r="EM43" i="136"/>
  <c r="EN43" i="136"/>
  <c r="EO43" i="136"/>
  <c r="EM44" i="136"/>
  <c r="EN44" i="136"/>
  <c r="EO44" i="136"/>
  <c r="EM45" i="136"/>
  <c r="EN45" i="136"/>
  <c r="EO45" i="136"/>
  <c r="EM46" i="136"/>
  <c r="EN46" i="136"/>
  <c r="EO46" i="136"/>
  <c r="EM47" i="136"/>
  <c r="EN47" i="136"/>
  <c r="EO47" i="136"/>
  <c r="EM48" i="136"/>
  <c r="EN48" i="136"/>
  <c r="EO48" i="136"/>
  <c r="EM49" i="136"/>
  <c r="EN49" i="136"/>
  <c r="EO49" i="136"/>
  <c r="EM50" i="136"/>
  <c r="EN50" i="136"/>
  <c r="EO50" i="136"/>
  <c r="EM51" i="136"/>
  <c r="EN51" i="136"/>
  <c r="EO51" i="136"/>
  <c r="EM52" i="136"/>
  <c r="EN52" i="136"/>
  <c r="EO52" i="136"/>
  <c r="EM53" i="136"/>
  <c r="EN53" i="136"/>
  <c r="EO53" i="136"/>
  <c r="EM54" i="136"/>
  <c r="EN54" i="136"/>
  <c r="EO54" i="136"/>
  <c r="EM55" i="136"/>
  <c r="EN55" i="136"/>
  <c r="EO55" i="136"/>
  <c r="EM56" i="136"/>
  <c r="EN56" i="136"/>
  <c r="EO56" i="136"/>
  <c r="EM57" i="136"/>
  <c r="EN57" i="136"/>
  <c r="EO57" i="136"/>
  <c r="EM58" i="136"/>
  <c r="EN58" i="136"/>
  <c r="EO58" i="136"/>
  <c r="EM59" i="136"/>
  <c r="EN59" i="136"/>
  <c r="EO59" i="136"/>
  <c r="EM60" i="136"/>
  <c r="EN60" i="136"/>
  <c r="EO60" i="136"/>
  <c r="EM61" i="136"/>
  <c r="EN61" i="136"/>
  <c r="EO61" i="136"/>
  <c r="EM62" i="136"/>
  <c r="EN62" i="136"/>
  <c r="EO62" i="136"/>
  <c r="EM63" i="136"/>
  <c r="EN63" i="136"/>
  <c r="EO63" i="136"/>
  <c r="EM64" i="136"/>
  <c r="EN64" i="136"/>
  <c r="EO64" i="136"/>
  <c r="EM65" i="136"/>
  <c r="EN65" i="136"/>
  <c r="EO65" i="136"/>
  <c r="EM66" i="136"/>
  <c r="EN66" i="136"/>
  <c r="EO66" i="136"/>
  <c r="EM67" i="136"/>
  <c r="EN67" i="136"/>
  <c r="EO67" i="136"/>
  <c r="EM68" i="136"/>
  <c r="EN68" i="136"/>
  <c r="EO68" i="136"/>
  <c r="EM69" i="136"/>
  <c r="EN69" i="136"/>
  <c r="EO69" i="136"/>
  <c r="EM70" i="136"/>
  <c r="EN70" i="136"/>
  <c r="EO70" i="136"/>
  <c r="EM71" i="136"/>
  <c r="EN71" i="136"/>
  <c r="EO71" i="136"/>
  <c r="EM72" i="136"/>
  <c r="EN72" i="136"/>
  <c r="EO72" i="136"/>
  <c r="EM73" i="136"/>
  <c r="EN73" i="136"/>
  <c r="EO73" i="136"/>
  <c r="EM74" i="136"/>
  <c r="EN74" i="136"/>
  <c r="EO74" i="136"/>
  <c r="EM75" i="136"/>
  <c r="EN75" i="136"/>
  <c r="EO75" i="136"/>
  <c r="EM76" i="136"/>
  <c r="EN76" i="136"/>
  <c r="EO76" i="136"/>
  <c r="EM77" i="136"/>
  <c r="EN77" i="136"/>
  <c r="EO77" i="136"/>
  <c r="EM78" i="136"/>
  <c r="EN78" i="136"/>
  <c r="EO78" i="136"/>
  <c r="EM79" i="136"/>
  <c r="EN79" i="136"/>
  <c r="EO79" i="136"/>
  <c r="EM80" i="136"/>
  <c r="EN80" i="136"/>
  <c r="EO80" i="136"/>
  <c r="EM81" i="136"/>
  <c r="EN81" i="136"/>
  <c r="EO81" i="136"/>
  <c r="EM82" i="136"/>
  <c r="EN82" i="136"/>
  <c r="EO82" i="136"/>
  <c r="EM83" i="136"/>
  <c r="EN83" i="136"/>
  <c r="EO83" i="136"/>
  <c r="EM84" i="136"/>
  <c r="EN84" i="136"/>
  <c r="EO84" i="136"/>
  <c r="EM85" i="136"/>
  <c r="EN85" i="136"/>
  <c r="EO85" i="136"/>
  <c r="EM86" i="136"/>
  <c r="EN86" i="136"/>
  <c r="EO86" i="136"/>
  <c r="EM87" i="136"/>
  <c r="EN87" i="136"/>
  <c r="EO87" i="136"/>
  <c r="EM88" i="136"/>
  <c r="EN88" i="136"/>
  <c r="EO88" i="136"/>
  <c r="EM89" i="136"/>
  <c r="EN89" i="136"/>
  <c r="EO89" i="136"/>
  <c r="EM90" i="136"/>
  <c r="EN90" i="136"/>
  <c r="EO90" i="136"/>
  <c r="EM91" i="136"/>
  <c r="EN91" i="136"/>
  <c r="EO91" i="136"/>
  <c r="EM92" i="136"/>
  <c r="EN92" i="136"/>
  <c r="EO92" i="136"/>
  <c r="EM93" i="136"/>
  <c r="EN93" i="136"/>
  <c r="EO93" i="136"/>
  <c r="EM94" i="136"/>
  <c r="EN94" i="136"/>
  <c r="EO94" i="136"/>
  <c r="EM95" i="136"/>
  <c r="EN95" i="136"/>
  <c r="EO95" i="136"/>
  <c r="EM96" i="136"/>
  <c r="EN96" i="136"/>
  <c r="EO96" i="136"/>
  <c r="EM97" i="136"/>
  <c r="EN97" i="136"/>
  <c r="EO97" i="136"/>
  <c r="EM98" i="136"/>
  <c r="EN98" i="136"/>
  <c r="EO98" i="136"/>
  <c r="EM99" i="136"/>
  <c r="EN99" i="136"/>
  <c r="EO99" i="136"/>
  <c r="EM100" i="136"/>
  <c r="EN100" i="136"/>
  <c r="EO100" i="136"/>
  <c r="EM101" i="136"/>
  <c r="EN101" i="136"/>
  <c r="EO101" i="136"/>
  <c r="EM102" i="136"/>
  <c r="EN102" i="136"/>
  <c r="EO102" i="136"/>
  <c r="EM103" i="136"/>
  <c r="EN103" i="136"/>
  <c r="EO103" i="136"/>
  <c r="EM104" i="136"/>
  <c r="EN104" i="136"/>
  <c r="EO104" i="136"/>
  <c r="EM105" i="136"/>
  <c r="EN105" i="136"/>
  <c r="EO105" i="136"/>
  <c r="EM106" i="136"/>
  <c r="EN106" i="136"/>
  <c r="EO106" i="136"/>
  <c r="EM107" i="136"/>
  <c r="EN107" i="136"/>
  <c r="EO107" i="136"/>
  <c r="EM108" i="136"/>
  <c r="EN108" i="136"/>
  <c r="EO108" i="136"/>
  <c r="EM109" i="136"/>
  <c r="EN109" i="136"/>
  <c r="EO109" i="136"/>
  <c r="EM110" i="136"/>
  <c r="EN110" i="136"/>
  <c r="EO110" i="136"/>
  <c r="EM111" i="136"/>
  <c r="EN111" i="136"/>
  <c r="EO111" i="136"/>
  <c r="EM112" i="136"/>
  <c r="EN112" i="136"/>
  <c r="EO112" i="136"/>
  <c r="EM113" i="136"/>
  <c r="EN113" i="136"/>
  <c r="EO113" i="136"/>
  <c r="EM114" i="136"/>
  <c r="EN114" i="136"/>
  <c r="EO114" i="136"/>
  <c r="EM115" i="136"/>
  <c r="EN115" i="136"/>
  <c r="EO115" i="136"/>
  <c r="EM116" i="136"/>
  <c r="EN116" i="136"/>
  <c r="EO116" i="136"/>
  <c r="EM117" i="136"/>
  <c r="EN117" i="136"/>
  <c r="EO117" i="136"/>
  <c r="EM118" i="136"/>
  <c r="EN118" i="136"/>
  <c r="EO118" i="136"/>
  <c r="EM119" i="136"/>
  <c r="EN119" i="136"/>
  <c r="EO119" i="136"/>
  <c r="EM120" i="136"/>
  <c r="EN120" i="136"/>
  <c r="EO120" i="136"/>
  <c r="EM121" i="136"/>
  <c r="EN121" i="136"/>
  <c r="EO121" i="136"/>
  <c r="EM122" i="136"/>
  <c r="EN122" i="136"/>
  <c r="EO122" i="136"/>
  <c r="EM123" i="136"/>
  <c r="EN123" i="136"/>
  <c r="EO123" i="136"/>
  <c r="EM124" i="136"/>
  <c r="EN124" i="136"/>
  <c r="EO124" i="136"/>
  <c r="EM125" i="136"/>
  <c r="EN125" i="136"/>
  <c r="EO125" i="136"/>
  <c r="EM126" i="136"/>
  <c r="EN126" i="136"/>
  <c r="EO126" i="136"/>
  <c r="EM127" i="136"/>
  <c r="EN127" i="136"/>
  <c r="EO127" i="136"/>
  <c r="EM128" i="136"/>
  <c r="EN128" i="136"/>
  <c r="EO128" i="136"/>
  <c r="EM129" i="136"/>
  <c r="EN129" i="136"/>
  <c r="EO129" i="136"/>
  <c r="EM130" i="136"/>
  <c r="EN130" i="136"/>
  <c r="EO130" i="136"/>
  <c r="EM131" i="136"/>
  <c r="EN131" i="136"/>
  <c r="EO131" i="136"/>
  <c r="EM132" i="136"/>
  <c r="EN132" i="136"/>
  <c r="O166" i="4" s="1"/>
  <c r="EO132" i="136"/>
  <c r="EM133" i="136"/>
  <c r="EN133" i="136"/>
  <c r="EO133" i="136"/>
  <c r="EM134" i="136"/>
  <c r="EN134" i="136"/>
  <c r="EO134" i="136"/>
  <c r="EM135" i="136"/>
  <c r="EN135" i="136"/>
  <c r="L193" i="39" s="1"/>
  <c r="EO135" i="136"/>
  <c r="EM136" i="136"/>
  <c r="EN136" i="136"/>
  <c r="L198" i="39" s="1"/>
  <c r="EO136" i="136"/>
  <c r="EM137" i="136"/>
  <c r="EN137" i="136"/>
  <c r="EO137" i="136"/>
  <c r="EM138" i="136"/>
  <c r="EN138" i="136"/>
  <c r="L205" i="39" s="1"/>
  <c r="EO138" i="136"/>
  <c r="EM139" i="136"/>
  <c r="EN139" i="136"/>
  <c r="L207" i="39" s="1"/>
  <c r="EO139" i="136"/>
  <c r="EM140" i="136"/>
  <c r="EN140" i="136"/>
  <c r="L209" i="39" s="1"/>
  <c r="EO140" i="136"/>
  <c r="EM141" i="136"/>
  <c r="EN141" i="136"/>
  <c r="EO141" i="136"/>
  <c r="EM142" i="136"/>
  <c r="EN142" i="136"/>
  <c r="EO142" i="136"/>
  <c r="EM143" i="136"/>
  <c r="EN143" i="136"/>
  <c r="EO143" i="136"/>
  <c r="EM144" i="136"/>
  <c r="EN144" i="136"/>
  <c r="L217" i="39" s="1"/>
  <c r="EO144" i="136"/>
  <c r="EM145" i="136"/>
  <c r="EN145" i="136"/>
  <c r="EO145" i="136"/>
  <c r="EM146" i="136"/>
  <c r="EN146" i="136"/>
  <c r="EO146" i="136"/>
  <c r="EM147" i="136"/>
  <c r="EN147" i="136"/>
  <c r="EO147" i="136"/>
  <c r="EM148" i="136"/>
  <c r="EN148" i="136"/>
  <c r="EO148" i="136"/>
  <c r="EM149" i="136"/>
  <c r="EN149" i="136"/>
  <c r="EO149" i="136"/>
  <c r="EM150" i="136"/>
  <c r="EN150" i="136"/>
  <c r="EO150" i="136"/>
  <c r="EM151" i="136"/>
  <c r="EN151" i="136"/>
  <c r="EO151" i="136"/>
  <c r="EM152" i="136"/>
  <c r="EN152" i="136"/>
  <c r="EO152" i="136"/>
  <c r="EM153" i="136"/>
  <c r="EN153" i="136"/>
  <c r="L228" i="39" s="1"/>
  <c r="EO153" i="136"/>
  <c r="EM154" i="136"/>
  <c r="EN154" i="136"/>
  <c r="EO154" i="136"/>
  <c r="EM155" i="136"/>
  <c r="EN155" i="136"/>
  <c r="EO155" i="136"/>
  <c r="EM156" i="136"/>
  <c r="EN156" i="136"/>
  <c r="L229" i="39" s="1"/>
  <c r="EO156" i="136"/>
  <c r="EM157" i="136"/>
  <c r="EN157" i="136"/>
  <c r="EO157" i="136"/>
  <c r="EM158" i="136"/>
  <c r="EN158" i="136"/>
  <c r="EO158" i="136"/>
  <c r="EM159" i="136"/>
  <c r="EN159" i="136"/>
  <c r="EO159" i="136"/>
  <c r="EM160" i="136"/>
  <c r="EN160" i="136"/>
  <c r="EO160" i="136"/>
  <c r="EM161" i="136"/>
  <c r="EN161" i="136"/>
  <c r="L257" i="39" s="1"/>
  <c r="EO161" i="136"/>
  <c r="EM162" i="136"/>
  <c r="EN162" i="136"/>
  <c r="EO162" i="136"/>
  <c r="EM163" i="136"/>
  <c r="EN163" i="136"/>
  <c r="EO163" i="136"/>
  <c r="EM164" i="136"/>
  <c r="EN164" i="136"/>
  <c r="EO164" i="136"/>
  <c r="EM165" i="136"/>
  <c r="EN165" i="136"/>
  <c r="EO165" i="136"/>
  <c r="EM166" i="136"/>
  <c r="EN166" i="136"/>
  <c r="EO166" i="136"/>
  <c r="EM167" i="136"/>
  <c r="EN167" i="136"/>
  <c r="EO167" i="136"/>
  <c r="EM168" i="136"/>
  <c r="EN168" i="136"/>
  <c r="EO168" i="136"/>
  <c r="I294" i="39"/>
  <c r="DV5" i="139"/>
  <c r="DV4" i="139"/>
  <c r="DV3" i="139"/>
  <c r="DX8" i="139"/>
  <c r="DW4" i="139"/>
  <c r="DX4" i="139"/>
  <c r="DW5" i="139"/>
  <c r="DX5" i="139"/>
  <c r="DV6" i="139"/>
  <c r="DW6" i="139"/>
  <c r="DX6" i="139"/>
  <c r="DV7" i="139"/>
  <c r="DW7" i="139"/>
  <c r="DX7" i="139"/>
  <c r="DV8" i="139"/>
  <c r="DW8" i="139"/>
  <c r="DW3" i="139"/>
  <c r="DX3" i="139"/>
  <c r="I165" i="39"/>
  <c r="I166" i="39"/>
  <c r="I167" i="39"/>
  <c r="I169" i="39"/>
  <c r="I170" i="39"/>
  <c r="I171" i="39"/>
  <c r="I172" i="39"/>
  <c r="I173" i="39"/>
  <c r="I174" i="39"/>
  <c r="I175" i="39"/>
  <c r="I176" i="39"/>
  <c r="I177" i="39"/>
  <c r="I178" i="39"/>
  <c r="I179" i="39"/>
  <c r="I180" i="39"/>
  <c r="I181" i="39"/>
  <c r="I182" i="39"/>
  <c r="I183" i="39"/>
  <c r="I184" i="39"/>
  <c r="F16" i="39"/>
  <c r="G16" i="4"/>
  <c r="G171" i="4"/>
  <c r="K13" i="37"/>
  <c r="M13" i="37"/>
  <c r="R13" i="37"/>
  <c r="M37" i="37"/>
  <c r="N37" i="37"/>
  <c r="O37" i="37" s="1"/>
  <c r="R37" i="37"/>
  <c r="O13" i="37" l="1"/>
  <c r="P166" i="4"/>
  <c r="O188" i="4"/>
  <c r="P54" i="4"/>
  <c r="O178" i="4"/>
  <c r="I209" i="39"/>
  <c r="M209" i="39" s="1"/>
  <c r="O191" i="4"/>
  <c r="I226" i="39"/>
  <c r="L203" i="39"/>
  <c r="I163" i="39"/>
  <c r="P191" i="4" l="1"/>
  <c r="P178" i="4"/>
  <c r="P188" i="4"/>
  <c r="L314" i="39"/>
  <c r="FZ6" i="138"/>
  <c r="I31" i="37"/>
  <c r="I33" i="37"/>
  <c r="I39" i="37"/>
  <c r="L232" i="39"/>
  <c r="I195" i="39"/>
  <c r="FY4" i="138"/>
  <c r="FZ4" i="138"/>
  <c r="GA4" i="138"/>
  <c r="FY5" i="138"/>
  <c r="FZ5" i="138"/>
  <c r="GA5" i="138"/>
  <c r="FY6" i="138"/>
  <c r="GA6" i="138"/>
  <c r="FY7" i="138"/>
  <c r="FZ7" i="138"/>
  <c r="GA7" i="138"/>
  <c r="FY8" i="138"/>
  <c r="FZ8" i="138"/>
  <c r="GA8" i="138"/>
  <c r="FY9" i="138"/>
  <c r="FZ9" i="138"/>
  <c r="GA9" i="138"/>
  <c r="FY10" i="138"/>
  <c r="FZ10" i="138"/>
  <c r="GA10" i="138"/>
  <c r="FY11" i="138"/>
  <c r="FZ11" i="138"/>
  <c r="GA11" i="138"/>
  <c r="FY12" i="138"/>
  <c r="FZ12" i="138"/>
  <c r="GA12" i="138"/>
  <c r="FY13" i="138"/>
  <c r="FZ13" i="138"/>
  <c r="GA13" i="138"/>
  <c r="FY14" i="138"/>
  <c r="FZ14" i="138"/>
  <c r="GA14" i="138"/>
  <c r="FY15" i="138"/>
  <c r="FZ15" i="138"/>
  <c r="GA15" i="138"/>
  <c r="FY16" i="138"/>
  <c r="FZ16" i="138"/>
  <c r="GA16" i="138"/>
  <c r="FY17" i="138"/>
  <c r="FZ17" i="138"/>
  <c r="GA17" i="138"/>
  <c r="FY18" i="138"/>
  <c r="FZ18" i="138"/>
  <c r="GA18" i="138"/>
  <c r="FY19" i="138"/>
  <c r="FZ19" i="138"/>
  <c r="GA19" i="138"/>
  <c r="FY20" i="138"/>
  <c r="FZ20" i="138"/>
  <c r="GA20" i="138"/>
  <c r="FY21" i="138"/>
  <c r="I197" i="39" s="1"/>
  <c r="FZ21" i="138"/>
  <c r="GA21" i="138"/>
  <c r="FY22" i="138"/>
  <c r="FZ22" i="138"/>
  <c r="GA22" i="138"/>
  <c r="FY23" i="138"/>
  <c r="FZ23" i="138"/>
  <c r="GA23" i="138"/>
  <c r="FY24" i="138"/>
  <c r="FZ24" i="138"/>
  <c r="GA24" i="138"/>
  <c r="FY25" i="138"/>
  <c r="FZ25" i="138"/>
  <c r="GA25" i="138"/>
  <c r="FY26" i="138"/>
  <c r="FZ26" i="138"/>
  <c r="GA26" i="138"/>
  <c r="FY27" i="138"/>
  <c r="FZ27" i="138"/>
  <c r="GA27" i="138"/>
  <c r="FY28" i="138"/>
  <c r="FZ28" i="138"/>
  <c r="GA28" i="138"/>
  <c r="FY29" i="138"/>
  <c r="FZ29" i="138"/>
  <c r="GA29" i="138"/>
  <c r="FY30" i="138"/>
  <c r="H86" i="37" s="1"/>
  <c r="FZ30" i="138"/>
  <c r="GA30" i="138"/>
  <c r="FY31" i="138"/>
  <c r="FZ31" i="138"/>
  <c r="GA31" i="138"/>
  <c r="FY32" i="138"/>
  <c r="FZ32" i="138"/>
  <c r="GA32" i="138"/>
  <c r="FY33" i="138"/>
  <c r="FZ33" i="138"/>
  <c r="GA33" i="138"/>
  <c r="FY34" i="138"/>
  <c r="FZ34" i="138"/>
  <c r="GA34" i="138"/>
  <c r="FY35" i="138"/>
  <c r="FZ35" i="138"/>
  <c r="GA35" i="138"/>
  <c r="FY36" i="138"/>
  <c r="FZ36" i="138"/>
  <c r="GA36" i="138"/>
  <c r="FY37" i="138"/>
  <c r="FZ37" i="138"/>
  <c r="GA37" i="138"/>
  <c r="FY38" i="138"/>
  <c r="FZ38" i="138"/>
  <c r="GA38" i="138"/>
  <c r="FY39" i="138"/>
  <c r="FZ39" i="138"/>
  <c r="GA39" i="138"/>
  <c r="FY40" i="138"/>
  <c r="FZ40" i="138"/>
  <c r="GA40" i="138"/>
  <c r="FY41" i="138"/>
  <c r="FZ41" i="138"/>
  <c r="GA41" i="138"/>
  <c r="FY42" i="138"/>
  <c r="FZ42" i="138"/>
  <c r="GA42" i="138"/>
  <c r="FY43" i="138"/>
  <c r="FZ43" i="138"/>
  <c r="GA43" i="138"/>
  <c r="FY44" i="138"/>
  <c r="FZ44" i="138"/>
  <c r="GA44" i="138"/>
  <c r="FY45" i="138"/>
  <c r="FZ45" i="138"/>
  <c r="GA45" i="138"/>
  <c r="FY46" i="138"/>
  <c r="FZ46" i="138"/>
  <c r="GA46" i="138"/>
  <c r="FY47" i="138"/>
  <c r="FZ47" i="138"/>
  <c r="GA47" i="138"/>
  <c r="FY48" i="138"/>
  <c r="FZ48" i="138"/>
  <c r="GA48" i="138"/>
  <c r="FY49" i="138"/>
  <c r="FZ49" i="138"/>
  <c r="GA49" i="138"/>
  <c r="FY50" i="138"/>
  <c r="FZ50" i="138"/>
  <c r="GA50" i="138"/>
  <c r="FY51" i="138"/>
  <c r="FZ51" i="138"/>
  <c r="GA51" i="138"/>
  <c r="FY52" i="138"/>
  <c r="FZ52" i="138"/>
  <c r="GA52" i="138"/>
  <c r="FY53" i="138"/>
  <c r="FZ53" i="138"/>
  <c r="GA53" i="138"/>
  <c r="FY54" i="138"/>
  <c r="FZ54" i="138"/>
  <c r="GA54" i="138"/>
  <c r="FY55" i="138"/>
  <c r="FZ55" i="138"/>
  <c r="GA55" i="138"/>
  <c r="FZ3" i="138"/>
  <c r="GA3" i="138"/>
  <c r="FY3" i="138"/>
  <c r="AD28" i="37"/>
  <c r="AD31" i="37"/>
  <c r="AD33" i="37"/>
  <c r="AD39" i="37"/>
  <c r="L231" i="39" l="1"/>
  <c r="I28" i="37"/>
  <c r="I59" i="37"/>
  <c r="I232" i="39"/>
  <c r="I231" i="39" s="1"/>
  <c r="I233" i="39"/>
  <c r="M233" i="39" s="1"/>
  <c r="I16" i="37"/>
  <c r="I48" i="37"/>
  <c r="H80" i="37" s="1"/>
  <c r="H84" i="37"/>
  <c r="FP4" i="138"/>
  <c r="FP5" i="138"/>
  <c r="AD23" i="37" s="1"/>
  <c r="FP6" i="138"/>
  <c r="FP7" i="138"/>
  <c r="FP8" i="138"/>
  <c r="FP9" i="138"/>
  <c r="FP10" i="138"/>
  <c r="FP11" i="138"/>
  <c r="FP12" i="138"/>
  <c r="FP13" i="138"/>
  <c r="FP14" i="138"/>
  <c r="FP15" i="138"/>
  <c r="FP16" i="138"/>
  <c r="FP17" i="138"/>
  <c r="FP18" i="138"/>
  <c r="FP19" i="138"/>
  <c r="FP3" i="138"/>
  <c r="AD18" i="37" s="1"/>
  <c r="AE200" i="4"/>
  <c r="I196" i="39" l="1"/>
  <c r="N16" i="37"/>
  <c r="M231" i="39"/>
  <c r="M232" i="39"/>
  <c r="AD17" i="37"/>
  <c r="AD16" i="37" s="1"/>
  <c r="AD14" i="37" s="1"/>
  <c r="AD12" i="37" s="1"/>
  <c r="I42" i="37"/>
  <c r="I38" i="37" s="1"/>
  <c r="AD58" i="37"/>
  <c r="AD57" i="37"/>
  <c r="AD55" i="37"/>
  <c r="AD54" i="37"/>
  <c r="AD53" i="37"/>
  <c r="AD52" i="37"/>
  <c r="AD51" i="37"/>
  <c r="AD50" i="37"/>
  <c r="AD49" i="37"/>
  <c r="AD47" i="37"/>
  <c r="AD46" i="37"/>
  <c r="AD45" i="37"/>
  <c r="AD44" i="37"/>
  <c r="AD36" i="37"/>
  <c r="AD35" i="37" s="1"/>
  <c r="N25" i="4"/>
  <c r="N32" i="4"/>
  <c r="N48" i="4"/>
  <c r="N55" i="4"/>
  <c r="N63" i="4"/>
  <c r="N78" i="4"/>
  <c r="N84" i="4"/>
  <c r="N117" i="4"/>
  <c r="N152" i="4"/>
  <c r="N154" i="4"/>
  <c r="N155" i="4"/>
  <c r="N156" i="4"/>
  <c r="N157" i="4"/>
  <c r="N158" i="4"/>
  <c r="N159" i="4"/>
  <c r="N160" i="4"/>
  <c r="N161" i="4"/>
  <c r="N170" i="4"/>
  <c r="N173" i="4"/>
  <c r="N175" i="4"/>
  <c r="N177" i="4"/>
  <c r="N192" i="4"/>
  <c r="N193" i="4"/>
  <c r="N206" i="4"/>
  <c r="N208" i="4"/>
  <c r="O153" i="4"/>
  <c r="AE203" i="4"/>
  <c r="AE184" i="4"/>
  <c r="AE172" i="4"/>
  <c r="AE154" i="4"/>
  <c r="AE148" i="4"/>
  <c r="AE136" i="4"/>
  <c r="AE87" i="4"/>
  <c r="AE69" i="4"/>
  <c r="AE38" i="4"/>
  <c r="AE29" i="4"/>
  <c r="AE19" i="4"/>
  <c r="N24" i="4"/>
  <c r="O86" i="4"/>
  <c r="L115" i="39"/>
  <c r="AE13" i="4"/>
  <c r="AE14" i="4"/>
  <c r="AE15" i="4"/>
  <c r="AE16" i="4"/>
  <c r="AE18" i="4"/>
  <c r="AE20" i="4"/>
  <c r="AE21" i="4"/>
  <c r="AE23" i="4"/>
  <c r="AE34" i="4"/>
  <c r="AE36" i="4"/>
  <c r="AE47" i="4"/>
  <c r="AE50" i="4"/>
  <c r="AE51" i="4"/>
  <c r="AE52" i="4"/>
  <c r="AE54" i="4"/>
  <c r="AE58" i="4"/>
  <c r="AE59" i="4"/>
  <c r="AE61" i="4"/>
  <c r="AE62" i="4"/>
  <c r="AE66" i="4"/>
  <c r="AE75" i="4"/>
  <c r="AE76" i="4"/>
  <c r="AE77" i="4"/>
  <c r="AE85" i="4"/>
  <c r="AE95" i="4"/>
  <c r="AE97" i="4"/>
  <c r="AE99" i="4"/>
  <c r="AE100" i="4"/>
  <c r="AE101" i="4"/>
  <c r="AE102" i="4"/>
  <c r="AE105" i="4"/>
  <c r="AE106" i="4"/>
  <c r="AE108" i="4"/>
  <c r="AE109" i="4"/>
  <c r="AE111" i="4"/>
  <c r="AE113" i="4"/>
  <c r="AE118" i="4"/>
  <c r="AE124" i="4"/>
  <c r="AE125" i="4"/>
  <c r="AE127" i="4"/>
  <c r="AE128" i="4"/>
  <c r="AE130" i="4"/>
  <c r="AE132" i="4"/>
  <c r="AE133" i="4"/>
  <c r="AE134" i="4"/>
  <c r="AE135" i="4"/>
  <c r="AE140" i="4"/>
  <c r="AE141" i="4"/>
  <c r="AE142" i="4"/>
  <c r="AE143" i="4"/>
  <c r="AE145" i="4"/>
  <c r="AE144" i="4" s="1"/>
  <c r="AE169" i="4"/>
  <c r="AE162" i="4" s="1"/>
  <c r="AE195" i="4"/>
  <c r="AE194" i="4" s="1"/>
  <c r="AE198" i="4"/>
  <c r="AE197" i="4" s="1"/>
  <c r="AE10" i="4"/>
  <c r="P153" i="4" l="1"/>
  <c r="P149" i="4"/>
  <c r="P86" i="4"/>
  <c r="O128" i="4"/>
  <c r="N179" i="4"/>
  <c r="O179" i="4"/>
  <c r="I210" i="39"/>
  <c r="M210" i="39" s="1"/>
  <c r="O88" i="4"/>
  <c r="O57" i="4"/>
  <c r="N89" i="4"/>
  <c r="O12" i="4"/>
  <c r="O70" i="4"/>
  <c r="O18" i="4"/>
  <c r="O69" i="4"/>
  <c r="O46" i="4"/>
  <c r="N132" i="4"/>
  <c r="O64" i="4"/>
  <c r="O47" i="4"/>
  <c r="O76" i="4"/>
  <c r="N101" i="4"/>
  <c r="O39" i="4"/>
  <c r="O17" i="4"/>
  <c r="O96" i="4"/>
  <c r="O62" i="4"/>
  <c r="O162" i="4"/>
  <c r="N94" i="4"/>
  <c r="O31" i="4"/>
  <c r="O143" i="4"/>
  <c r="N10" i="4"/>
  <c r="O122" i="4"/>
  <c r="L114" i="39"/>
  <c r="O45" i="4"/>
  <c r="O13" i="4"/>
  <c r="N104" i="4"/>
  <c r="N103" i="4"/>
  <c r="O77" i="4"/>
  <c r="O38" i="4"/>
  <c r="O142" i="4"/>
  <c r="N93" i="4"/>
  <c r="O22" i="4"/>
  <c r="O113" i="4"/>
  <c r="N106" i="4"/>
  <c r="N99" i="4"/>
  <c r="O85" i="4"/>
  <c r="O59" i="4"/>
  <c r="N168" i="4"/>
  <c r="O118" i="4"/>
  <c r="O73" i="4"/>
  <c r="O44" i="4"/>
  <c r="O66" i="4"/>
  <c r="O43" i="4"/>
  <c r="O21" i="4"/>
  <c r="N147" i="4"/>
  <c r="N171" i="4"/>
  <c r="N127" i="4"/>
  <c r="N98" i="4"/>
  <c r="O14" i="4"/>
  <c r="N166" i="4"/>
  <c r="N86" i="4"/>
  <c r="N149" i="4"/>
  <c r="O119" i="4"/>
  <c r="O50" i="4"/>
  <c r="O71" i="4"/>
  <c r="O19" i="4"/>
  <c r="N135" i="4"/>
  <c r="N146" i="4"/>
  <c r="N133" i="4"/>
  <c r="O42" i="4"/>
  <c r="O20" i="4"/>
  <c r="O80" i="4"/>
  <c r="AE119" i="4"/>
  <c r="O35" i="4"/>
  <c r="AE121" i="4"/>
  <c r="AE120" i="4" s="1"/>
  <c r="O27" i="4"/>
  <c r="O28" i="4"/>
  <c r="O29" i="4"/>
  <c r="O41" i="4"/>
  <c r="O49" i="4"/>
  <c r="AE104" i="4"/>
  <c r="O51" i="4"/>
  <c r="O120" i="4"/>
  <c r="O52" i="4"/>
  <c r="O121" i="4"/>
  <c r="O30" i="4"/>
  <c r="N128" i="4"/>
  <c r="O36" i="4"/>
  <c r="O83" i="4"/>
  <c r="O58" i="4"/>
  <c r="O136" i="4"/>
  <c r="AE131" i="4"/>
  <c r="N153" i="4"/>
  <c r="O137" i="4"/>
  <c r="N188" i="4"/>
  <c r="AE27" i="4"/>
  <c r="AE26" i="4" s="1"/>
  <c r="AE17" i="4"/>
  <c r="AE12" i="4" s="1"/>
  <c r="AE114" i="4"/>
  <c r="O65" i="4"/>
  <c r="AE186" i="4"/>
  <c r="AE183" i="4" s="1"/>
  <c r="AE182" i="4" s="1"/>
  <c r="O72" i="4"/>
  <c r="O74" i="4"/>
  <c r="O23" i="4"/>
  <c r="O75" i="4"/>
  <c r="N115" i="4"/>
  <c r="AE46" i="4"/>
  <c r="O37" i="4"/>
  <c r="AE65" i="4"/>
  <c r="AE44" i="4"/>
  <c r="O123" i="4"/>
  <c r="O61" i="4"/>
  <c r="AE45" i="4"/>
  <c r="AE107" i="4"/>
  <c r="AE67" i="4"/>
  <c r="AE110" i="4"/>
  <c r="O11" i="4"/>
  <c r="O138" i="4"/>
  <c r="AE49" i="4"/>
  <c r="O67" i="4"/>
  <c r="O172" i="4"/>
  <c r="O40" i="4"/>
  <c r="P16" i="4"/>
  <c r="O68" i="4"/>
  <c r="AD48" i="37"/>
  <c r="AD43" i="37"/>
  <c r="AE139" i="4"/>
  <c r="AE123" i="4"/>
  <c r="N143" i="4"/>
  <c r="AE189" i="4"/>
  <c r="AE57" i="4"/>
  <c r="AE33" i="4"/>
  <c r="AE89" i="4"/>
  <c r="AE74" i="4"/>
  <c r="AE73" i="4" s="1"/>
  <c r="AE60" i="4"/>
  <c r="AE153" i="4"/>
  <c r="P80" i="4" l="1"/>
  <c r="P83" i="4"/>
  <c r="P148" i="4"/>
  <c r="P85" i="4"/>
  <c r="P70" i="4"/>
  <c r="P37" i="4"/>
  <c r="P120" i="4"/>
  <c r="P31" i="4"/>
  <c r="P76" i="4"/>
  <c r="P58" i="4"/>
  <c r="P51" i="4"/>
  <c r="P66" i="4"/>
  <c r="P47" i="4"/>
  <c r="P40" i="4"/>
  <c r="P35" i="4"/>
  <c r="P19" i="4"/>
  <c r="P14" i="4"/>
  <c r="P44" i="4"/>
  <c r="P113" i="4"/>
  <c r="P162" i="4"/>
  <c r="P64" i="4"/>
  <c r="P57" i="4"/>
  <c r="P52" i="4"/>
  <c r="P21" i="4"/>
  <c r="P68" i="4"/>
  <c r="P136" i="4"/>
  <c r="P43" i="4"/>
  <c r="P172" i="4"/>
  <c r="P36" i="4"/>
  <c r="P62" i="4"/>
  <c r="P23" i="4"/>
  <c r="P49" i="4"/>
  <c r="P46" i="4"/>
  <c r="P28" i="4"/>
  <c r="P143" i="4"/>
  <c r="P73" i="4"/>
  <c r="P88" i="4"/>
  <c r="P67" i="4"/>
  <c r="P118" i="4"/>
  <c r="P96" i="4"/>
  <c r="P123" i="4"/>
  <c r="P74" i="4"/>
  <c r="P137" i="4"/>
  <c r="P30" i="4"/>
  <c r="P41" i="4"/>
  <c r="P20" i="4"/>
  <c r="P119" i="4"/>
  <c r="P142" i="4"/>
  <c r="P122" i="4"/>
  <c r="P17" i="4"/>
  <c r="P69" i="4"/>
  <c r="P179" i="4"/>
  <c r="P77" i="4"/>
  <c r="P128" i="4"/>
  <c r="P65" i="4"/>
  <c r="P27" i="4"/>
  <c r="P75" i="4"/>
  <c r="P151" i="4"/>
  <c r="P71" i="4"/>
  <c r="P22" i="4"/>
  <c r="P45" i="4"/>
  <c r="P61" i="4"/>
  <c r="P50" i="4"/>
  <c r="P138" i="4"/>
  <c r="P72" i="4"/>
  <c r="P121" i="4"/>
  <c r="P29" i="4"/>
  <c r="P42" i="4"/>
  <c r="P59" i="4"/>
  <c r="P38" i="4"/>
  <c r="P39" i="4"/>
  <c r="P18" i="4"/>
  <c r="O196" i="4"/>
  <c r="O199" i="4"/>
  <c r="O201" i="4"/>
  <c r="O195" i="4"/>
  <c r="N186" i="4"/>
  <c r="O189" i="4"/>
  <c r="O183" i="4"/>
  <c r="N174" i="4"/>
  <c r="N176" i="4"/>
  <c r="O182" i="4"/>
  <c r="O200" i="4"/>
  <c r="N204" i="4"/>
  <c r="O141" i="4"/>
  <c r="N112" i="4"/>
  <c r="O112" i="4"/>
  <c r="N142" i="4"/>
  <c r="N13" i="4"/>
  <c r="O97" i="4"/>
  <c r="N70" i="4"/>
  <c r="O114" i="4"/>
  <c r="O95" i="4"/>
  <c r="O108" i="4"/>
  <c r="O106" i="4"/>
  <c r="O107" i="4"/>
  <c r="N66" i="4"/>
  <c r="O134" i="4"/>
  <c r="O111" i="4"/>
  <c r="N88" i="4"/>
  <c r="O100" i="4"/>
  <c r="O105" i="4"/>
  <c r="O125" i="4"/>
  <c r="N96" i="4"/>
  <c r="N199" i="4"/>
  <c r="O90" i="4"/>
  <c r="N31" i="4"/>
  <c r="N201" i="4"/>
  <c r="N22" i="4"/>
  <c r="O103" i="4"/>
  <c r="O99" i="4"/>
  <c r="O139" i="4"/>
  <c r="O98" i="4"/>
  <c r="O92" i="4"/>
  <c r="N69" i="4"/>
  <c r="O127" i="4"/>
  <c r="N44" i="4"/>
  <c r="N47" i="4"/>
  <c r="N12" i="4"/>
  <c r="O109" i="4"/>
  <c r="O124" i="4"/>
  <c r="N43" i="4"/>
  <c r="N45" i="4"/>
  <c r="O184" i="4"/>
  <c r="I217" i="39"/>
  <c r="M217" i="39" s="1"/>
  <c r="O60" i="4"/>
  <c r="N60" i="4"/>
  <c r="O87" i="4"/>
  <c r="N87" i="4"/>
  <c r="O194" i="4"/>
  <c r="I228" i="39"/>
  <c r="M228" i="39" s="1"/>
  <c r="O207" i="4"/>
  <c r="N187" i="4"/>
  <c r="O187" i="4"/>
  <c r="I220" i="39"/>
  <c r="M220" i="39" s="1"/>
  <c r="O145" i="4"/>
  <c r="N145" i="4"/>
  <c r="N131" i="4"/>
  <c r="O131" i="4"/>
  <c r="O33" i="4"/>
  <c r="N33" i="4"/>
  <c r="N53" i="4"/>
  <c r="O53" i="4"/>
  <c r="O15" i="4"/>
  <c r="N15" i="4"/>
  <c r="O167" i="4"/>
  <c r="I193" i="39"/>
  <c r="M193" i="39" s="1"/>
  <c r="N167" i="4"/>
  <c r="O102" i="4"/>
  <c r="O110" i="4"/>
  <c r="N119" i="4"/>
  <c r="L119" i="39"/>
  <c r="N29" i="4"/>
  <c r="O101" i="4"/>
  <c r="O94" i="4"/>
  <c r="N116" i="4"/>
  <c r="L116" i="39"/>
  <c r="AD42" i="37"/>
  <c r="AD38" i="37" s="1"/>
  <c r="AD11" i="37" s="1"/>
  <c r="O140" i="4"/>
  <c r="N56" i="4"/>
  <c r="O56" i="4"/>
  <c r="O174" i="4"/>
  <c r="I205" i="39"/>
  <c r="M205" i="39" s="1"/>
  <c r="O133" i="4"/>
  <c r="O205" i="4"/>
  <c r="I304" i="39"/>
  <c r="O190" i="4"/>
  <c r="I225" i="39"/>
  <c r="N26" i="4"/>
  <c r="O26" i="4"/>
  <c r="N118" i="4"/>
  <c r="L118" i="39"/>
  <c r="I314" i="39"/>
  <c r="N17" i="4"/>
  <c r="N76" i="4"/>
  <c r="N18" i="4"/>
  <c r="O147" i="4"/>
  <c r="O93" i="4"/>
  <c r="O104" i="4"/>
  <c r="O204" i="4"/>
  <c r="I303" i="39"/>
  <c r="N198" i="4"/>
  <c r="O198" i="4"/>
  <c r="N163" i="4"/>
  <c r="I189" i="39"/>
  <c r="O203" i="4"/>
  <c r="N113" i="4"/>
  <c r="L113" i="39"/>
  <c r="O129" i="4"/>
  <c r="O130" i="4"/>
  <c r="N39" i="4"/>
  <c r="N46" i="4"/>
  <c r="N57" i="4"/>
  <c r="O135" i="4"/>
  <c r="O116" i="4"/>
  <c r="O132" i="4"/>
  <c r="N34" i="4"/>
  <c r="O34" i="4"/>
  <c r="O176" i="4"/>
  <c r="I207" i="39"/>
  <c r="M207" i="39" s="1"/>
  <c r="I229" i="39"/>
  <c r="M229" i="39" s="1"/>
  <c r="O144" i="4"/>
  <c r="O202" i="4"/>
  <c r="I257" i="39"/>
  <c r="M257" i="39" s="1"/>
  <c r="I187" i="39"/>
  <c r="M187" i="39" s="1"/>
  <c r="N62" i="4"/>
  <c r="N169" i="4"/>
  <c r="N194" i="4"/>
  <c r="N178" i="4"/>
  <c r="N42" i="4"/>
  <c r="N73" i="4"/>
  <c r="N203" i="4"/>
  <c r="N97" i="4"/>
  <c r="N200" i="4"/>
  <c r="N164" i="4"/>
  <c r="AE112" i="4"/>
  <c r="N85" i="4"/>
  <c r="N122" i="4"/>
  <c r="N50" i="4"/>
  <c r="N205" i="4"/>
  <c r="N21" i="4"/>
  <c r="N64" i="4"/>
  <c r="N191" i="4"/>
  <c r="N19" i="4"/>
  <c r="N59" i="4"/>
  <c r="N20" i="4"/>
  <c r="N148" i="4"/>
  <c r="N108" i="4"/>
  <c r="N92" i="4"/>
  <c r="N71" i="4"/>
  <c r="N196" i="4"/>
  <c r="N144" i="4"/>
  <c r="N72" i="4"/>
  <c r="N61" i="4"/>
  <c r="N195" i="4"/>
  <c r="N77" i="4"/>
  <c r="N38" i="4"/>
  <c r="N14" i="4"/>
  <c r="N202" i="4"/>
  <c r="N83" i="4"/>
  <c r="N54" i="4"/>
  <c r="N36" i="4"/>
  <c r="N41" i="4"/>
  <c r="N162" i="4"/>
  <c r="N189" i="4"/>
  <c r="N58" i="4"/>
  <c r="N138" i="4"/>
  <c r="N197" i="4"/>
  <c r="N51" i="4"/>
  <c r="N136" i="4"/>
  <c r="N68" i="4"/>
  <c r="N11" i="4"/>
  <c r="N30" i="4"/>
  <c r="AE9" i="4"/>
  <c r="N65" i="4"/>
  <c r="N49" i="4"/>
  <c r="N165" i="4"/>
  <c r="N114" i="4"/>
  <c r="N37" i="4"/>
  <c r="N52" i="4"/>
  <c r="N151" i="4"/>
  <c r="N80" i="4"/>
  <c r="N35" i="4"/>
  <c r="N40" i="4"/>
  <c r="N139" i="4"/>
  <c r="N90" i="4"/>
  <c r="N105" i="4"/>
  <c r="N27" i="4"/>
  <c r="N123" i="4"/>
  <c r="N141" i="4"/>
  <c r="AE64" i="4"/>
  <c r="N172" i="4"/>
  <c r="N124" i="4"/>
  <c r="N110" i="4"/>
  <c r="N190" i="4"/>
  <c r="N100" i="4"/>
  <c r="N120" i="4"/>
  <c r="N23" i="4"/>
  <c r="N140" i="4"/>
  <c r="N28" i="4"/>
  <c r="N102" i="4"/>
  <c r="N74" i="4"/>
  <c r="N109" i="4"/>
  <c r="N111" i="4"/>
  <c r="N121" i="4"/>
  <c r="N137" i="4"/>
  <c r="N95" i="4"/>
  <c r="N107" i="4"/>
  <c r="AE43" i="4"/>
  <c r="N130" i="4"/>
  <c r="N75" i="4"/>
  <c r="N129" i="4"/>
  <c r="AE103" i="4"/>
  <c r="L16" i="4"/>
  <c r="N67" i="4"/>
  <c r="N125" i="4"/>
  <c r="N134" i="4"/>
  <c r="N16" i="4"/>
  <c r="AE11" i="4"/>
  <c r="FS7" i="137"/>
  <c r="FR3" i="137"/>
  <c r="P183" i="4" l="1"/>
  <c r="P184" i="4"/>
  <c r="P182" i="4"/>
  <c r="P205" i="4"/>
  <c r="P99" i="4"/>
  <c r="P34" i="4"/>
  <c r="P110" i="4"/>
  <c r="P187" i="4"/>
  <c r="P103" i="4"/>
  <c r="P125" i="4"/>
  <c r="P106" i="4"/>
  <c r="P112" i="4"/>
  <c r="P129" i="4"/>
  <c r="P102" i="4"/>
  <c r="P105" i="4"/>
  <c r="P108" i="4"/>
  <c r="P189" i="4"/>
  <c r="P132" i="4"/>
  <c r="P204" i="4"/>
  <c r="P133" i="4"/>
  <c r="P33" i="4"/>
  <c r="P127" i="4"/>
  <c r="P100" i="4"/>
  <c r="P95" i="4"/>
  <c r="P141" i="4"/>
  <c r="P198" i="4"/>
  <c r="P190" i="4"/>
  <c r="P140" i="4"/>
  <c r="P53" i="4"/>
  <c r="P107" i="4"/>
  <c r="P60" i="4"/>
  <c r="P202" i="4"/>
  <c r="P116" i="4"/>
  <c r="P94" i="4"/>
  <c r="P144" i="4"/>
  <c r="P203" i="4"/>
  <c r="P26" i="4"/>
  <c r="P101" i="4"/>
  <c r="P167" i="4"/>
  <c r="P194" i="4"/>
  <c r="P92" i="4"/>
  <c r="P111" i="4"/>
  <c r="P200" i="4"/>
  <c r="P201" i="4"/>
  <c r="P147" i="4"/>
  <c r="P56" i="4"/>
  <c r="P124" i="4"/>
  <c r="P98" i="4"/>
  <c r="P90" i="4"/>
  <c r="P134" i="4"/>
  <c r="P97" i="4"/>
  <c r="P199" i="4"/>
  <c r="P176" i="4"/>
  <c r="P130" i="4"/>
  <c r="P104" i="4"/>
  <c r="P131" i="4"/>
  <c r="P114" i="4"/>
  <c r="P195" i="4"/>
  <c r="P135" i="4"/>
  <c r="P93" i="4"/>
  <c r="P174" i="4"/>
  <c r="P89" i="4"/>
  <c r="P15" i="4"/>
  <c r="P145" i="4"/>
  <c r="P87" i="4"/>
  <c r="P109" i="4"/>
  <c r="P139" i="4"/>
  <c r="P196" i="4"/>
  <c r="I224" i="39"/>
  <c r="AE42" i="4"/>
  <c r="AD55" i="35" l="1"/>
  <c r="AD54" i="35" s="1"/>
  <c r="AD21" i="35"/>
  <c r="AD61" i="35"/>
  <c r="AD46" i="35"/>
  <c r="AD37" i="35"/>
  <c r="AD35" i="35"/>
  <c r="AD33" i="35"/>
  <c r="AD27" i="35"/>
  <c r="AD11" i="35"/>
  <c r="FS3" i="137"/>
  <c r="FT3" i="137"/>
  <c r="FS4" i="137"/>
  <c r="FT4" i="137"/>
  <c r="FS5" i="137"/>
  <c r="FT5" i="137"/>
  <c r="FS6" i="137"/>
  <c r="FT6" i="137"/>
  <c r="FT7" i="137"/>
  <c r="FS8" i="137"/>
  <c r="FT8" i="137"/>
  <c r="FS9" i="137"/>
  <c r="FT9" i="137"/>
  <c r="FS10" i="137"/>
  <c r="FT10" i="137"/>
  <c r="FS11" i="137"/>
  <c r="FT11" i="137"/>
  <c r="FS12" i="137"/>
  <c r="FT12" i="137"/>
  <c r="FS13" i="137"/>
  <c r="FT13" i="137"/>
  <c r="FS14" i="137"/>
  <c r="FT14" i="137"/>
  <c r="FS15" i="137"/>
  <c r="FT15" i="137"/>
  <c r="FS16" i="137"/>
  <c r="FT16" i="137"/>
  <c r="FS17" i="137"/>
  <c r="FT17" i="137"/>
  <c r="FS18" i="137"/>
  <c r="FT18" i="137"/>
  <c r="FS19" i="137"/>
  <c r="FT19" i="137"/>
  <c r="FS20" i="137"/>
  <c r="FT20" i="137"/>
  <c r="FS21" i="137"/>
  <c r="FT21" i="137"/>
  <c r="FS22" i="137"/>
  <c r="FT22" i="137"/>
  <c r="FS23" i="137"/>
  <c r="FT23" i="137"/>
  <c r="FS24" i="137"/>
  <c r="FT24" i="137"/>
  <c r="FS25" i="137"/>
  <c r="FT25" i="137"/>
  <c r="FS26" i="137"/>
  <c r="FT26" i="137"/>
  <c r="FS27" i="137"/>
  <c r="FT27" i="137"/>
  <c r="FS28" i="137"/>
  <c r="FT28" i="137"/>
  <c r="FS29" i="137"/>
  <c r="FT29" i="137"/>
  <c r="FS30" i="137"/>
  <c r="FT30" i="137"/>
  <c r="FS31" i="137"/>
  <c r="FT31" i="137"/>
  <c r="FS32" i="137"/>
  <c r="FT32" i="137"/>
  <c r="FS33" i="137"/>
  <c r="FT33" i="137"/>
  <c r="FS34" i="137"/>
  <c r="FT34" i="137"/>
  <c r="FS35" i="137"/>
  <c r="FT35" i="137"/>
  <c r="FS36" i="137"/>
  <c r="FT36" i="137"/>
  <c r="FS37" i="137"/>
  <c r="FT37" i="137"/>
  <c r="FS38" i="137"/>
  <c r="FT38" i="137"/>
  <c r="FS39" i="137"/>
  <c r="FT39" i="137"/>
  <c r="FS40" i="137"/>
  <c r="FT40" i="137"/>
  <c r="FS41" i="137"/>
  <c r="FT41" i="137"/>
  <c r="FS42" i="137"/>
  <c r="FT42" i="137"/>
  <c r="FS43" i="137"/>
  <c r="FT43" i="137"/>
  <c r="FS44" i="137"/>
  <c r="FT44" i="137"/>
  <c r="FS45" i="137"/>
  <c r="FT45" i="137"/>
  <c r="FS46" i="137"/>
  <c r="FT46" i="137"/>
  <c r="FS47" i="137"/>
  <c r="FT47" i="137"/>
  <c r="FS48" i="137"/>
  <c r="FT48" i="137"/>
  <c r="FS49" i="137"/>
  <c r="FT49" i="137"/>
  <c r="FS50" i="137"/>
  <c r="FT50" i="137"/>
  <c r="FS51" i="137"/>
  <c r="FT51" i="137"/>
  <c r="FS52" i="137"/>
  <c r="FT52" i="137"/>
  <c r="FS53" i="137"/>
  <c r="FT53" i="137"/>
  <c r="FR4" i="137"/>
  <c r="FR5" i="137"/>
  <c r="FR6" i="137"/>
  <c r="FR7" i="137"/>
  <c r="FR8" i="137"/>
  <c r="FR9" i="137"/>
  <c r="FR10" i="137"/>
  <c r="FR11" i="137"/>
  <c r="FR12" i="137"/>
  <c r="FR13" i="137"/>
  <c r="FR14" i="137"/>
  <c r="FR15" i="137"/>
  <c r="FR16" i="137"/>
  <c r="FR17" i="137"/>
  <c r="FR18" i="137"/>
  <c r="FR19" i="137"/>
  <c r="FR20" i="137"/>
  <c r="FR21" i="137"/>
  <c r="FR22" i="137"/>
  <c r="FR23" i="137"/>
  <c r="FR24" i="137"/>
  <c r="FR25" i="137"/>
  <c r="FR26" i="137"/>
  <c r="FR27" i="137"/>
  <c r="FR28" i="137"/>
  <c r="FR29" i="137"/>
  <c r="FR30" i="137"/>
  <c r="FR31" i="137"/>
  <c r="FR32" i="137"/>
  <c r="FR33" i="137"/>
  <c r="FR34" i="137"/>
  <c r="FR35" i="137"/>
  <c r="FR36" i="137"/>
  <c r="FR37" i="137"/>
  <c r="FR38" i="137"/>
  <c r="FR39" i="137"/>
  <c r="FR40" i="137"/>
  <c r="FR41" i="137"/>
  <c r="FR42" i="137"/>
  <c r="FR43" i="137"/>
  <c r="FR44" i="137"/>
  <c r="FR45" i="137"/>
  <c r="FR46" i="137"/>
  <c r="FR47" i="137"/>
  <c r="FR48" i="137"/>
  <c r="I306" i="39" s="1"/>
  <c r="FR49" i="137"/>
  <c r="FR50" i="137"/>
  <c r="FR51" i="137"/>
  <c r="FR52" i="137"/>
  <c r="FR53" i="137"/>
  <c r="FI3" i="137"/>
  <c r="FI4" i="137"/>
  <c r="FI5" i="137"/>
  <c r="FI6" i="137"/>
  <c r="FI7" i="137"/>
  <c r="FI8" i="137"/>
  <c r="FI9" i="137"/>
  <c r="FI10" i="137"/>
  <c r="FI11" i="137"/>
  <c r="EN3" i="137"/>
  <c r="I27" i="35" l="1"/>
  <c r="L188" i="39"/>
  <c r="I218" i="39"/>
  <c r="AD20" i="35"/>
  <c r="AD10" i="35" s="1"/>
  <c r="AD53" i="35"/>
  <c r="N21" i="35" l="1"/>
  <c r="I46" i="35"/>
  <c r="M46" i="35" s="1"/>
  <c r="I191" i="39"/>
  <c r="AD9" i="35"/>
  <c r="DM3" i="139"/>
  <c r="DN3" i="139"/>
  <c r="DM4" i="139"/>
  <c r="DN4" i="139"/>
  <c r="DM5" i="139"/>
  <c r="DN5" i="139"/>
  <c r="DM6" i="139"/>
  <c r="DN6" i="139"/>
  <c r="DM7" i="139"/>
  <c r="DN7" i="139"/>
  <c r="DM8" i="139"/>
  <c r="DN8" i="139"/>
  <c r="DL4" i="139"/>
  <c r="DL5" i="139"/>
  <c r="DL6" i="139"/>
  <c r="DL7" i="139"/>
  <c r="DL8" i="139"/>
  <c r="DL3" i="139"/>
  <c r="AC11" i="35"/>
  <c r="AC22" i="35"/>
  <c r="EX4" i="137"/>
  <c r="EY4" i="137"/>
  <c r="EZ4" i="137"/>
  <c r="EX5" i="137"/>
  <c r="EY5" i="137"/>
  <c r="EZ5" i="137"/>
  <c r="EX6" i="137"/>
  <c r="EY6" i="137"/>
  <c r="EZ6" i="137"/>
  <c r="EX7" i="137"/>
  <c r="EY7" i="137"/>
  <c r="EZ7" i="137"/>
  <c r="EX8" i="137"/>
  <c r="EY8" i="137"/>
  <c r="EZ8" i="137"/>
  <c r="EX9" i="137"/>
  <c r="EY9" i="137"/>
  <c r="EZ9" i="137"/>
  <c r="EX10" i="137"/>
  <c r="EY10" i="137"/>
  <c r="EZ10" i="137"/>
  <c r="EX11" i="137"/>
  <c r="EY11" i="137"/>
  <c r="EZ11" i="137"/>
  <c r="EX12" i="137"/>
  <c r="EY12" i="137"/>
  <c r="EZ12" i="137"/>
  <c r="EX13" i="137"/>
  <c r="EY13" i="137"/>
  <c r="EZ13" i="137"/>
  <c r="EX14" i="137"/>
  <c r="EY14" i="137"/>
  <c r="EZ14" i="137"/>
  <c r="EX15" i="137"/>
  <c r="EY15" i="137"/>
  <c r="EZ15" i="137"/>
  <c r="EX16" i="137"/>
  <c r="EY16" i="137"/>
  <c r="EZ16" i="137"/>
  <c r="EX17" i="137"/>
  <c r="EY17" i="137"/>
  <c r="EZ17" i="137"/>
  <c r="EX18" i="137"/>
  <c r="EY18" i="137"/>
  <c r="EZ18" i="137"/>
  <c r="EX19" i="137"/>
  <c r="EY19" i="137"/>
  <c r="EZ19" i="137"/>
  <c r="EX20" i="137"/>
  <c r="EY20" i="137"/>
  <c r="EZ20" i="137"/>
  <c r="EX21" i="137"/>
  <c r="EY21" i="137"/>
  <c r="EZ21" i="137"/>
  <c r="EX22" i="137"/>
  <c r="EY22" i="137"/>
  <c r="EZ22" i="137"/>
  <c r="EX23" i="137"/>
  <c r="EY23" i="137"/>
  <c r="EZ23" i="137"/>
  <c r="EX24" i="137"/>
  <c r="EY24" i="137"/>
  <c r="EZ24" i="137"/>
  <c r="EX25" i="137"/>
  <c r="EY25" i="137"/>
  <c r="EZ25" i="137"/>
  <c r="EX26" i="137"/>
  <c r="EY26" i="137"/>
  <c r="EZ26" i="137"/>
  <c r="EX27" i="137"/>
  <c r="EY27" i="137"/>
  <c r="EZ27" i="137"/>
  <c r="EX28" i="137"/>
  <c r="EY28" i="137"/>
  <c r="EZ28" i="137"/>
  <c r="EX29" i="137"/>
  <c r="EX30" i="137"/>
  <c r="EY30" i="137"/>
  <c r="EZ30" i="137"/>
  <c r="EX31" i="137"/>
  <c r="EY31" i="137"/>
  <c r="EZ31" i="137"/>
  <c r="EX32" i="137"/>
  <c r="EY32" i="137"/>
  <c r="EZ32" i="137"/>
  <c r="EX33" i="137"/>
  <c r="EY33" i="137"/>
  <c r="EZ33" i="137"/>
  <c r="EX34" i="137"/>
  <c r="EY34" i="137"/>
  <c r="EZ34" i="137"/>
  <c r="EX35" i="137"/>
  <c r="EY35" i="137"/>
  <c r="EZ35" i="137"/>
  <c r="EX36" i="137"/>
  <c r="EY36" i="137"/>
  <c r="EZ36" i="137"/>
  <c r="EX37" i="137"/>
  <c r="EY37" i="137"/>
  <c r="EZ37" i="137"/>
  <c r="EX38" i="137"/>
  <c r="EY38" i="137"/>
  <c r="EZ38" i="137"/>
  <c r="EX39" i="137"/>
  <c r="EY39" i="137"/>
  <c r="EZ39" i="137"/>
  <c r="EX40" i="137"/>
  <c r="EY40" i="137"/>
  <c r="EZ40" i="137"/>
  <c r="EX41" i="137"/>
  <c r="EY41" i="137"/>
  <c r="EZ41" i="137"/>
  <c r="EX42" i="137"/>
  <c r="EY42" i="137"/>
  <c r="EZ42" i="137"/>
  <c r="EX43" i="137"/>
  <c r="EY43" i="137"/>
  <c r="EZ43" i="137"/>
  <c r="EX44" i="137"/>
  <c r="EY44" i="137"/>
  <c r="EZ44" i="137"/>
  <c r="EX45" i="137"/>
  <c r="EY45" i="137"/>
  <c r="EZ45" i="137"/>
  <c r="EX46" i="137"/>
  <c r="EY46" i="137"/>
  <c r="EZ46" i="137"/>
  <c r="EX47" i="137"/>
  <c r="EY47" i="137"/>
  <c r="EZ47" i="137"/>
  <c r="EX48" i="137"/>
  <c r="EY48" i="137"/>
  <c r="EZ48" i="137"/>
  <c r="EX49" i="137"/>
  <c r="EY49" i="137"/>
  <c r="EZ49" i="137"/>
  <c r="EX50" i="137"/>
  <c r="EY50" i="137"/>
  <c r="EZ50" i="137"/>
  <c r="EX51" i="137"/>
  <c r="EY51" i="137"/>
  <c r="EZ51" i="137"/>
  <c r="EX52" i="137"/>
  <c r="EY52" i="137"/>
  <c r="EZ52" i="137"/>
  <c r="EX53" i="137"/>
  <c r="EY53" i="137"/>
  <c r="EZ53" i="137"/>
  <c r="EX54" i="137"/>
  <c r="EY54" i="137"/>
  <c r="EZ54" i="137"/>
  <c r="EY3" i="137"/>
  <c r="EZ3" i="137"/>
  <c r="EX3" i="137"/>
  <c r="EN4" i="137"/>
  <c r="AC26" i="35" s="1"/>
  <c r="EN5" i="137"/>
  <c r="AC30" i="35" s="1"/>
  <c r="EN6" i="137"/>
  <c r="AC29" i="35" s="1"/>
  <c r="EN7" i="137"/>
  <c r="AC28" i="35" s="1"/>
  <c r="EN8" i="137"/>
  <c r="AC39" i="35" s="1"/>
  <c r="EN9" i="137"/>
  <c r="AC42" i="35" s="1"/>
  <c r="EN10" i="137"/>
  <c r="AC57" i="35" s="1"/>
  <c r="EN11" i="137"/>
  <c r="AC58" i="35" s="1"/>
  <c r="EN12" i="137"/>
  <c r="AC59" i="35" s="1"/>
  <c r="AC39" i="37"/>
  <c r="AC35" i="37"/>
  <c r="FF4" i="138"/>
  <c r="FG4" i="138"/>
  <c r="FH4" i="138"/>
  <c r="FF5" i="138"/>
  <c r="FG5" i="138"/>
  <c r="FH5" i="138"/>
  <c r="FF6" i="138"/>
  <c r="FG6" i="138"/>
  <c r="FH6" i="138"/>
  <c r="FF7" i="138"/>
  <c r="FG7" i="138"/>
  <c r="FH7" i="138"/>
  <c r="FF8" i="138"/>
  <c r="FG8" i="138"/>
  <c r="FH8" i="138"/>
  <c r="FF9" i="138"/>
  <c r="FG9" i="138"/>
  <c r="FH9" i="138"/>
  <c r="FF10" i="138"/>
  <c r="FG10" i="138"/>
  <c r="FH10" i="138"/>
  <c r="FF11" i="138"/>
  <c r="FG11" i="138"/>
  <c r="FH11" i="138"/>
  <c r="FF12" i="138"/>
  <c r="FG12" i="138"/>
  <c r="FH12" i="138"/>
  <c r="FF13" i="138"/>
  <c r="FG13" i="138"/>
  <c r="FH13" i="138"/>
  <c r="FF14" i="138"/>
  <c r="FG14" i="138"/>
  <c r="FH14" i="138"/>
  <c r="FF15" i="138"/>
  <c r="FG15" i="138"/>
  <c r="FH15" i="138"/>
  <c r="FF16" i="138"/>
  <c r="FG16" i="138"/>
  <c r="FH16" i="138"/>
  <c r="FF17" i="138"/>
  <c r="FG17" i="138"/>
  <c r="FH17" i="138"/>
  <c r="FF18" i="138"/>
  <c r="FG18" i="138"/>
  <c r="FH18" i="138"/>
  <c r="FF19" i="138"/>
  <c r="FG19" i="138"/>
  <c r="FH19" i="138"/>
  <c r="FF20" i="138"/>
  <c r="FG20" i="138"/>
  <c r="FH20" i="138"/>
  <c r="FF21" i="138"/>
  <c r="FG21" i="138"/>
  <c r="FH21" i="138"/>
  <c r="FF22" i="138"/>
  <c r="FG22" i="138"/>
  <c r="FH22" i="138"/>
  <c r="FF23" i="138"/>
  <c r="FG23" i="138"/>
  <c r="FH23" i="138"/>
  <c r="FF24" i="138"/>
  <c r="FG24" i="138"/>
  <c r="FH24" i="138"/>
  <c r="FF25" i="138"/>
  <c r="FG25" i="138"/>
  <c r="FH25" i="138"/>
  <c r="FF26" i="138"/>
  <c r="FG26" i="138"/>
  <c r="FH26" i="138"/>
  <c r="FF27" i="138"/>
  <c r="FG27" i="138"/>
  <c r="FH27" i="138"/>
  <c r="FF28" i="138"/>
  <c r="FG28" i="138"/>
  <c r="FH28" i="138"/>
  <c r="FF29" i="138"/>
  <c r="FG29" i="138"/>
  <c r="FH29" i="138"/>
  <c r="FF30" i="138"/>
  <c r="FG30" i="138"/>
  <c r="FH30" i="138"/>
  <c r="FF31" i="138"/>
  <c r="FG31" i="138"/>
  <c r="FH31" i="138"/>
  <c r="FF32" i="138"/>
  <c r="FG32" i="138"/>
  <c r="FH32" i="138"/>
  <c r="FF33" i="138"/>
  <c r="FG33" i="138"/>
  <c r="FH33" i="138"/>
  <c r="FF34" i="138"/>
  <c r="FG34" i="138"/>
  <c r="FH34" i="138"/>
  <c r="FF35" i="138"/>
  <c r="FG35" i="138"/>
  <c r="FH35" i="138"/>
  <c r="FF36" i="138"/>
  <c r="FG36" i="138"/>
  <c r="FH36" i="138"/>
  <c r="FF37" i="138"/>
  <c r="FG37" i="138"/>
  <c r="FH37" i="138"/>
  <c r="FF38" i="138"/>
  <c r="FG38" i="138"/>
  <c r="FH38" i="138"/>
  <c r="FF39" i="138"/>
  <c r="FG39" i="138"/>
  <c r="FH39" i="138"/>
  <c r="FF40" i="138"/>
  <c r="FG40" i="138"/>
  <c r="FH40" i="138"/>
  <c r="FF41" i="138"/>
  <c r="FG41" i="138"/>
  <c r="FH41" i="138"/>
  <c r="FF42" i="138"/>
  <c r="N53" i="37" s="1"/>
  <c r="FG42" i="138"/>
  <c r="FH42" i="138"/>
  <c r="FF43" i="138"/>
  <c r="FG43" i="138"/>
  <c r="FH43" i="138"/>
  <c r="FF44" i="138"/>
  <c r="FG44" i="138"/>
  <c r="FH44" i="138"/>
  <c r="FF45" i="138"/>
  <c r="FG45" i="138"/>
  <c r="FH45" i="138"/>
  <c r="FF46" i="138"/>
  <c r="FG46" i="138"/>
  <c r="FH46" i="138"/>
  <c r="FF47" i="138"/>
  <c r="FG47" i="138"/>
  <c r="FH47" i="138"/>
  <c r="FF48" i="138"/>
  <c r="FG48" i="138"/>
  <c r="FH48" i="138"/>
  <c r="FF49" i="138"/>
  <c r="FG49" i="138"/>
  <c r="FH49" i="138"/>
  <c r="FF50" i="138"/>
  <c r="FG50" i="138"/>
  <c r="FH50" i="138"/>
  <c r="FF51" i="138"/>
  <c r="FG51" i="138"/>
  <c r="FH51" i="138"/>
  <c r="FF52" i="138"/>
  <c r="FG52" i="138"/>
  <c r="FH52" i="138"/>
  <c r="FF53" i="138"/>
  <c r="FG53" i="138"/>
  <c r="FH53" i="138"/>
  <c r="FF54" i="138"/>
  <c r="FG54" i="138"/>
  <c r="FH54" i="138"/>
  <c r="FF55" i="138"/>
  <c r="FG55" i="138"/>
  <c r="FH55" i="138"/>
  <c r="FG3" i="138"/>
  <c r="FH3" i="138"/>
  <c r="FF3" i="138"/>
  <c r="EV4" i="138"/>
  <c r="AC17" i="37" s="1"/>
  <c r="EV5" i="138"/>
  <c r="AC44" i="37" s="1"/>
  <c r="EV6" i="138"/>
  <c r="AC45" i="37" s="1"/>
  <c r="EV7" i="138"/>
  <c r="AC47" i="37" s="1"/>
  <c r="EV8" i="138"/>
  <c r="AC49" i="37" s="1"/>
  <c r="EV9" i="138"/>
  <c r="AC50" i="37" s="1"/>
  <c r="EV10" i="138"/>
  <c r="AC51" i="37" s="1"/>
  <c r="EV11" i="138"/>
  <c r="AC53" i="37" s="1"/>
  <c r="EV12" i="138"/>
  <c r="AC54" i="37" s="1"/>
  <c r="EV13" i="138"/>
  <c r="AC57" i="37" s="1"/>
  <c r="EV52" i="138"/>
  <c r="EV53" i="138"/>
  <c r="EV54" i="138"/>
  <c r="EV55" i="138"/>
  <c r="EV3" i="138"/>
  <c r="AC18" i="37" s="1"/>
  <c r="N204" i="39"/>
  <c r="O204" i="39" s="1"/>
  <c r="H210" i="39"/>
  <c r="DY4" i="136"/>
  <c r="DZ4" i="136"/>
  <c r="EA4" i="136"/>
  <c r="EB4" i="136"/>
  <c r="DY5" i="136"/>
  <c r="DZ5" i="136"/>
  <c r="EA5" i="136"/>
  <c r="EB5" i="136"/>
  <c r="DY6" i="136"/>
  <c r="DZ6" i="136"/>
  <c r="EA6" i="136"/>
  <c r="EB6" i="136"/>
  <c r="DY7" i="136"/>
  <c r="DZ7" i="136"/>
  <c r="EA7" i="136"/>
  <c r="EB7" i="136"/>
  <c r="DY8" i="136"/>
  <c r="DZ8" i="136"/>
  <c r="EA8" i="136"/>
  <c r="EB8" i="136"/>
  <c r="DY9" i="136"/>
  <c r="DZ9" i="136"/>
  <c r="EA9" i="136"/>
  <c r="EB9" i="136"/>
  <c r="DY10" i="136"/>
  <c r="DZ10" i="136"/>
  <c r="EA10" i="136"/>
  <c r="EB10" i="136"/>
  <c r="DY11" i="136"/>
  <c r="DZ11" i="136"/>
  <c r="EA11" i="136"/>
  <c r="EB11" i="136"/>
  <c r="DY12" i="136"/>
  <c r="DZ12" i="136"/>
  <c r="EA12" i="136"/>
  <c r="EB12" i="136"/>
  <c r="DY13" i="136"/>
  <c r="DZ13" i="136"/>
  <c r="EA13" i="136"/>
  <c r="EB13" i="136"/>
  <c r="DY14" i="136"/>
  <c r="DZ14" i="136"/>
  <c r="EA14" i="136"/>
  <c r="EB14" i="136"/>
  <c r="DY15" i="136"/>
  <c r="DZ15" i="136"/>
  <c r="EA15" i="136"/>
  <c r="EB15" i="136"/>
  <c r="DY16" i="136"/>
  <c r="DZ16" i="136"/>
  <c r="EA16" i="136"/>
  <c r="EB16" i="136"/>
  <c r="DY17" i="136"/>
  <c r="DZ17" i="136"/>
  <c r="EA17" i="136"/>
  <c r="EB17" i="136"/>
  <c r="DY18" i="136"/>
  <c r="DZ18" i="136"/>
  <c r="EA18" i="136"/>
  <c r="EB18" i="136"/>
  <c r="DY19" i="136"/>
  <c r="DZ19" i="136"/>
  <c r="EA19" i="136"/>
  <c r="EB19" i="136"/>
  <c r="DY20" i="136"/>
  <c r="DZ20" i="136"/>
  <c r="EA20" i="136"/>
  <c r="EB20" i="136"/>
  <c r="DY21" i="136"/>
  <c r="DZ21" i="136"/>
  <c r="EA21" i="136"/>
  <c r="EB21" i="136"/>
  <c r="DY22" i="136"/>
  <c r="DZ22" i="136"/>
  <c r="EA22" i="136"/>
  <c r="EB22" i="136"/>
  <c r="DY23" i="136"/>
  <c r="DZ23" i="136"/>
  <c r="EA23" i="136"/>
  <c r="EB23" i="136"/>
  <c r="DY24" i="136"/>
  <c r="DZ24" i="136"/>
  <c r="EA24" i="136"/>
  <c r="EB24" i="136"/>
  <c r="DY25" i="136"/>
  <c r="DZ25" i="136"/>
  <c r="EA25" i="136"/>
  <c r="EB25" i="136"/>
  <c r="DY26" i="136"/>
  <c r="DZ26" i="136"/>
  <c r="EA26" i="136"/>
  <c r="EB26" i="136"/>
  <c r="DY27" i="136"/>
  <c r="DZ27" i="136"/>
  <c r="EA27" i="136"/>
  <c r="EB27" i="136"/>
  <c r="DY28" i="136"/>
  <c r="DZ28" i="136"/>
  <c r="EA28" i="136"/>
  <c r="EB28" i="136"/>
  <c r="DY29" i="136"/>
  <c r="DZ29" i="136"/>
  <c r="EA29" i="136"/>
  <c r="EB29" i="136"/>
  <c r="DY30" i="136"/>
  <c r="DZ30" i="136"/>
  <c r="EA30" i="136"/>
  <c r="EB30" i="136"/>
  <c r="DY31" i="136"/>
  <c r="DZ31" i="136"/>
  <c r="EA31" i="136"/>
  <c r="EB31" i="136"/>
  <c r="DY32" i="136"/>
  <c r="DZ32" i="136"/>
  <c r="EA32" i="136"/>
  <c r="EB32" i="136"/>
  <c r="DY33" i="136"/>
  <c r="DZ33" i="136"/>
  <c r="EA33" i="136"/>
  <c r="EB33" i="136"/>
  <c r="DY34" i="136"/>
  <c r="DZ34" i="136"/>
  <c r="EA34" i="136"/>
  <c r="EB34" i="136"/>
  <c r="DY35" i="136"/>
  <c r="DZ35" i="136"/>
  <c r="EA35" i="136"/>
  <c r="EB35" i="136"/>
  <c r="DY36" i="136"/>
  <c r="DZ36" i="136"/>
  <c r="EA36" i="136"/>
  <c r="EB36" i="136"/>
  <c r="DY37" i="136"/>
  <c r="DZ37" i="136"/>
  <c r="EA37" i="136"/>
  <c r="EB37" i="136"/>
  <c r="DY38" i="136"/>
  <c r="DZ38" i="136"/>
  <c r="EA38" i="136"/>
  <c r="EB38" i="136"/>
  <c r="DY39" i="136"/>
  <c r="DZ39" i="136"/>
  <c r="EA39" i="136"/>
  <c r="EB39" i="136"/>
  <c r="DY40" i="136"/>
  <c r="DZ40" i="136"/>
  <c r="EA40" i="136"/>
  <c r="EB40" i="136"/>
  <c r="DY41" i="136"/>
  <c r="DZ41" i="136"/>
  <c r="EA41" i="136"/>
  <c r="EB41" i="136"/>
  <c r="DY42" i="136"/>
  <c r="DZ42" i="136"/>
  <c r="EA42" i="136"/>
  <c r="EB42" i="136"/>
  <c r="DY43" i="136"/>
  <c r="DZ43" i="136"/>
  <c r="EA43" i="136"/>
  <c r="EB43" i="136"/>
  <c r="DY44" i="136"/>
  <c r="DZ44" i="136"/>
  <c r="EA44" i="136"/>
  <c r="EB44" i="136"/>
  <c r="DY45" i="136"/>
  <c r="DZ45" i="136"/>
  <c r="EA45" i="136"/>
  <c r="EB45" i="136"/>
  <c r="DY46" i="136"/>
  <c r="DZ46" i="136"/>
  <c r="EA46" i="136"/>
  <c r="EB46" i="136"/>
  <c r="DY47" i="136"/>
  <c r="DZ47" i="136"/>
  <c r="EA47" i="136"/>
  <c r="EB47" i="136"/>
  <c r="DY48" i="136"/>
  <c r="DZ48" i="136"/>
  <c r="EA48" i="136"/>
  <c r="EB48" i="136"/>
  <c r="DY49" i="136"/>
  <c r="DZ49" i="136"/>
  <c r="EA49" i="136"/>
  <c r="EB49" i="136"/>
  <c r="DY50" i="136"/>
  <c r="DZ50" i="136"/>
  <c r="EA50" i="136"/>
  <c r="EB50" i="136"/>
  <c r="DY51" i="136"/>
  <c r="DZ51" i="136"/>
  <c r="EA51" i="136"/>
  <c r="EB51" i="136"/>
  <c r="DY52" i="136"/>
  <c r="DZ52" i="136"/>
  <c r="EA52" i="136"/>
  <c r="EB52" i="136"/>
  <c r="DY53" i="136"/>
  <c r="DZ53" i="136"/>
  <c r="EA53" i="136"/>
  <c r="EB53" i="136"/>
  <c r="DY54" i="136"/>
  <c r="DZ54" i="136"/>
  <c r="EA54" i="136"/>
  <c r="EB54" i="136"/>
  <c r="DY55" i="136"/>
  <c r="DZ55" i="136"/>
  <c r="EA55" i="136"/>
  <c r="EB55" i="136"/>
  <c r="DY56" i="136"/>
  <c r="DZ56" i="136"/>
  <c r="EA56" i="136"/>
  <c r="EB56" i="136"/>
  <c r="DY57" i="136"/>
  <c r="DZ57" i="136"/>
  <c r="EA57" i="136"/>
  <c r="EB57" i="136"/>
  <c r="DY58" i="136"/>
  <c r="DZ58" i="136"/>
  <c r="EA58" i="136"/>
  <c r="EB58" i="136"/>
  <c r="DY59" i="136"/>
  <c r="DZ59" i="136"/>
  <c r="EA59" i="136"/>
  <c r="EB59" i="136"/>
  <c r="DY60" i="136"/>
  <c r="DZ60" i="136"/>
  <c r="EA60" i="136"/>
  <c r="EB60" i="136"/>
  <c r="DY61" i="136"/>
  <c r="DZ61" i="136"/>
  <c r="EA61" i="136"/>
  <c r="EB61" i="136"/>
  <c r="DY62" i="136"/>
  <c r="DZ62" i="136"/>
  <c r="EA62" i="136"/>
  <c r="EB62" i="136"/>
  <c r="DY63" i="136"/>
  <c r="DZ63" i="136"/>
  <c r="EA63" i="136"/>
  <c r="EB63" i="136"/>
  <c r="DY64" i="136"/>
  <c r="DZ64" i="136"/>
  <c r="EA64" i="136"/>
  <c r="EB64" i="136"/>
  <c r="DY65" i="136"/>
  <c r="DZ65" i="136"/>
  <c r="EA65" i="136"/>
  <c r="EB65" i="136"/>
  <c r="DY66" i="136"/>
  <c r="DZ66" i="136"/>
  <c r="EA66" i="136"/>
  <c r="EB66" i="136"/>
  <c r="DY67" i="136"/>
  <c r="DZ67" i="136"/>
  <c r="EA67" i="136"/>
  <c r="EB67" i="136"/>
  <c r="DY68" i="136"/>
  <c r="DZ68" i="136"/>
  <c r="EA68" i="136"/>
  <c r="EB68" i="136"/>
  <c r="DY69" i="136"/>
  <c r="DZ69" i="136"/>
  <c r="EA69" i="136"/>
  <c r="EB69" i="136"/>
  <c r="DY70" i="136"/>
  <c r="DZ70" i="136"/>
  <c r="EA70" i="136"/>
  <c r="EB70" i="136"/>
  <c r="DY71" i="136"/>
  <c r="DZ71" i="136"/>
  <c r="EA71" i="136"/>
  <c r="EB71" i="136"/>
  <c r="DY72" i="136"/>
  <c r="DZ72" i="136"/>
  <c r="EA72" i="136"/>
  <c r="EB72" i="136"/>
  <c r="DY73" i="136"/>
  <c r="DZ73" i="136"/>
  <c r="EA73" i="136"/>
  <c r="EB73" i="136"/>
  <c r="DY74" i="136"/>
  <c r="DZ74" i="136"/>
  <c r="EA74" i="136"/>
  <c r="EB74" i="136"/>
  <c r="DY75" i="136"/>
  <c r="DZ75" i="136"/>
  <c r="EA75" i="136"/>
  <c r="EB75" i="136"/>
  <c r="DY76" i="136"/>
  <c r="DZ76" i="136"/>
  <c r="EA76" i="136"/>
  <c r="EB76" i="136"/>
  <c r="DY77" i="136"/>
  <c r="DZ77" i="136"/>
  <c r="EA77" i="136"/>
  <c r="EB77" i="136"/>
  <c r="DY78" i="136"/>
  <c r="DZ78" i="136"/>
  <c r="EA78" i="136"/>
  <c r="EB78" i="136"/>
  <c r="DY79" i="136"/>
  <c r="DZ79" i="136"/>
  <c r="EA79" i="136"/>
  <c r="EB79" i="136"/>
  <c r="DY80" i="136"/>
  <c r="DZ80" i="136"/>
  <c r="EA80" i="136"/>
  <c r="EB80" i="136"/>
  <c r="DY81" i="136"/>
  <c r="DZ81" i="136"/>
  <c r="EA81" i="136"/>
  <c r="EB81" i="136"/>
  <c r="DY82" i="136"/>
  <c r="DZ82" i="136"/>
  <c r="EA82" i="136"/>
  <c r="EB82" i="136"/>
  <c r="DY83" i="136"/>
  <c r="DZ83" i="136"/>
  <c r="EA83" i="136"/>
  <c r="EB83" i="136"/>
  <c r="DY84" i="136"/>
  <c r="DZ84" i="136"/>
  <c r="EA84" i="136"/>
  <c r="EB84" i="136"/>
  <c r="DY85" i="136"/>
  <c r="DZ85" i="136"/>
  <c r="EA85" i="136"/>
  <c r="EB85" i="136"/>
  <c r="DY86" i="136"/>
  <c r="DZ86" i="136"/>
  <c r="EA86" i="136"/>
  <c r="EB86" i="136"/>
  <c r="DY87" i="136"/>
  <c r="DZ87" i="136"/>
  <c r="EA87" i="136"/>
  <c r="EB87" i="136"/>
  <c r="DY88" i="136"/>
  <c r="DZ88" i="136"/>
  <c r="EA88" i="136"/>
  <c r="EB88" i="136"/>
  <c r="DY89" i="136"/>
  <c r="DZ89" i="136"/>
  <c r="EA89" i="136"/>
  <c r="EB89" i="136"/>
  <c r="DY90" i="136"/>
  <c r="DZ90" i="136"/>
  <c r="EA90" i="136"/>
  <c r="EB90" i="136"/>
  <c r="DY91" i="136"/>
  <c r="DZ91" i="136"/>
  <c r="EA91" i="136"/>
  <c r="EB91" i="136"/>
  <c r="DY92" i="136"/>
  <c r="DZ92" i="136"/>
  <c r="EA92" i="136"/>
  <c r="EB92" i="136"/>
  <c r="DY93" i="136"/>
  <c r="DZ93" i="136"/>
  <c r="EA93" i="136"/>
  <c r="EB93" i="136"/>
  <c r="DY94" i="136"/>
  <c r="DZ94" i="136"/>
  <c r="EA94" i="136"/>
  <c r="EB94" i="136"/>
  <c r="DY95" i="136"/>
  <c r="DZ95" i="136"/>
  <c r="EA95" i="136"/>
  <c r="EB95" i="136"/>
  <c r="DY96" i="136"/>
  <c r="DZ96" i="136"/>
  <c r="EA96" i="136"/>
  <c r="EB96" i="136"/>
  <c r="DY97" i="136"/>
  <c r="DZ97" i="136"/>
  <c r="EA97" i="136"/>
  <c r="EB97" i="136"/>
  <c r="DY98" i="136"/>
  <c r="DZ98" i="136"/>
  <c r="EA98" i="136"/>
  <c r="EB98" i="136"/>
  <c r="DY99" i="136"/>
  <c r="DZ99" i="136"/>
  <c r="EA99" i="136"/>
  <c r="EB99" i="136"/>
  <c r="DY100" i="136"/>
  <c r="DZ100" i="136"/>
  <c r="EA100" i="136"/>
  <c r="EB100" i="136"/>
  <c r="DY101" i="136"/>
  <c r="DZ101" i="136"/>
  <c r="EA101" i="136"/>
  <c r="EB101" i="136"/>
  <c r="DY102" i="136"/>
  <c r="DZ102" i="136"/>
  <c r="EA102" i="136"/>
  <c r="EB102" i="136"/>
  <c r="DY103" i="136"/>
  <c r="DZ103" i="136"/>
  <c r="EA103" i="136"/>
  <c r="EB103" i="136"/>
  <c r="DY104" i="136"/>
  <c r="DZ104" i="136"/>
  <c r="EA104" i="136"/>
  <c r="EB104" i="136"/>
  <c r="DY105" i="136"/>
  <c r="DZ105" i="136"/>
  <c r="EA105" i="136"/>
  <c r="EB105" i="136"/>
  <c r="DY106" i="136"/>
  <c r="DZ106" i="136"/>
  <c r="EA106" i="136"/>
  <c r="EB106" i="136"/>
  <c r="DY107" i="136"/>
  <c r="DZ107" i="136"/>
  <c r="EA107" i="136"/>
  <c r="EB107" i="136"/>
  <c r="DY108" i="136"/>
  <c r="DZ108" i="136"/>
  <c r="EA108" i="136"/>
  <c r="EB108" i="136"/>
  <c r="DY109" i="136"/>
  <c r="DZ109" i="136"/>
  <c r="EA109" i="136"/>
  <c r="EB109" i="136"/>
  <c r="DY110" i="136"/>
  <c r="DZ110" i="136"/>
  <c r="EA110" i="136"/>
  <c r="EB110" i="136"/>
  <c r="DY111" i="136"/>
  <c r="DZ111" i="136"/>
  <c r="EA111" i="136"/>
  <c r="EB111" i="136"/>
  <c r="DY112" i="136"/>
  <c r="DZ112" i="136"/>
  <c r="EA112" i="136"/>
  <c r="EB112" i="136"/>
  <c r="DY113" i="136"/>
  <c r="DZ113" i="136"/>
  <c r="EA113" i="136"/>
  <c r="EB113" i="136"/>
  <c r="DY114" i="136"/>
  <c r="DZ114" i="136"/>
  <c r="EA114" i="136"/>
  <c r="EB114" i="136"/>
  <c r="DY115" i="136"/>
  <c r="DZ115" i="136"/>
  <c r="EA115" i="136"/>
  <c r="EB115" i="136"/>
  <c r="DY116" i="136"/>
  <c r="DZ116" i="136"/>
  <c r="EA116" i="136"/>
  <c r="EB116" i="136"/>
  <c r="DY117" i="136"/>
  <c r="DZ117" i="136"/>
  <c r="EA117" i="136"/>
  <c r="EB117" i="136"/>
  <c r="DY118" i="136"/>
  <c r="DZ118" i="136"/>
  <c r="EA118" i="136"/>
  <c r="EB118" i="136"/>
  <c r="DY119" i="136"/>
  <c r="DZ119" i="136"/>
  <c r="EA119" i="136"/>
  <c r="EB119" i="136"/>
  <c r="DY120" i="136"/>
  <c r="DZ120" i="136"/>
  <c r="EA120" i="136"/>
  <c r="EB120" i="136"/>
  <c r="DY121" i="136"/>
  <c r="DZ121" i="136"/>
  <c r="EA121" i="136"/>
  <c r="EB121" i="136"/>
  <c r="DY122" i="136"/>
  <c r="DZ122" i="136"/>
  <c r="EA122" i="136"/>
  <c r="EB122" i="136"/>
  <c r="DY123" i="136"/>
  <c r="DZ123" i="136"/>
  <c r="EA123" i="136"/>
  <c r="EB123" i="136"/>
  <c r="DY124" i="136"/>
  <c r="DZ124" i="136"/>
  <c r="EA124" i="136"/>
  <c r="EB124" i="136"/>
  <c r="DY125" i="136"/>
  <c r="DZ125" i="136"/>
  <c r="EA125" i="136"/>
  <c r="EB125" i="136"/>
  <c r="DY126" i="136"/>
  <c r="DZ126" i="136"/>
  <c r="EA126" i="136"/>
  <c r="EB126" i="136"/>
  <c r="DY127" i="136"/>
  <c r="DZ127" i="136"/>
  <c r="EA127" i="136"/>
  <c r="EB127" i="136"/>
  <c r="DY128" i="136"/>
  <c r="DZ128" i="136"/>
  <c r="EA128" i="136"/>
  <c r="EB128" i="136"/>
  <c r="DY129" i="136"/>
  <c r="DZ129" i="136"/>
  <c r="EA129" i="136"/>
  <c r="EB129" i="136"/>
  <c r="DY130" i="136"/>
  <c r="DZ130" i="136"/>
  <c r="EA130" i="136"/>
  <c r="EB130" i="136"/>
  <c r="DY131" i="136"/>
  <c r="DZ131" i="136"/>
  <c r="EA131" i="136"/>
  <c r="EB131" i="136"/>
  <c r="DY132" i="136"/>
  <c r="DZ132" i="136"/>
  <c r="EA132" i="136"/>
  <c r="EB132" i="136"/>
  <c r="DY133" i="136"/>
  <c r="DZ133" i="136"/>
  <c r="EA133" i="136"/>
  <c r="EB133" i="136"/>
  <c r="DY134" i="136"/>
  <c r="DZ134" i="136"/>
  <c r="EA134" i="136"/>
  <c r="EB134" i="136"/>
  <c r="DY135" i="136"/>
  <c r="DZ135" i="136"/>
  <c r="EA135" i="136"/>
  <c r="EB135" i="136"/>
  <c r="DY136" i="136"/>
  <c r="DZ136" i="136"/>
  <c r="EA136" i="136"/>
  <c r="EB136" i="136"/>
  <c r="DY137" i="136"/>
  <c r="DZ137" i="136"/>
  <c r="EA137" i="136"/>
  <c r="EB137" i="136"/>
  <c r="DY138" i="136"/>
  <c r="DZ138" i="136"/>
  <c r="EA138" i="136"/>
  <c r="EB138" i="136"/>
  <c r="DY139" i="136"/>
  <c r="DZ139" i="136"/>
  <c r="EA139" i="136"/>
  <c r="EB139" i="136"/>
  <c r="DY140" i="136"/>
  <c r="DZ140" i="136"/>
  <c r="EA140" i="136"/>
  <c r="EB140" i="136"/>
  <c r="DY141" i="136"/>
  <c r="DZ141" i="136"/>
  <c r="EA141" i="136"/>
  <c r="EB141" i="136"/>
  <c r="DY142" i="136"/>
  <c r="DZ142" i="136"/>
  <c r="EA142" i="136"/>
  <c r="EB142" i="136"/>
  <c r="DY143" i="136"/>
  <c r="DZ143" i="136"/>
  <c r="EA143" i="136"/>
  <c r="EB143" i="136"/>
  <c r="DY144" i="136"/>
  <c r="DZ144" i="136"/>
  <c r="EA144" i="136"/>
  <c r="EB144" i="136"/>
  <c r="DY145" i="136"/>
  <c r="DZ145" i="136"/>
  <c r="EA145" i="136"/>
  <c r="EB145" i="136"/>
  <c r="DY146" i="136"/>
  <c r="DZ146" i="136"/>
  <c r="EA146" i="136"/>
  <c r="EB146" i="136"/>
  <c r="DY147" i="136"/>
  <c r="DZ147" i="136"/>
  <c r="EA147" i="136"/>
  <c r="EB147" i="136"/>
  <c r="DY148" i="136"/>
  <c r="DZ148" i="136"/>
  <c r="EA148" i="136"/>
  <c r="EB148" i="136"/>
  <c r="DY149" i="136"/>
  <c r="DZ149" i="136"/>
  <c r="EA149" i="136"/>
  <c r="EB149" i="136"/>
  <c r="DY150" i="136"/>
  <c r="DZ150" i="136"/>
  <c r="EA150" i="136"/>
  <c r="EB150" i="136"/>
  <c r="DY151" i="136"/>
  <c r="DZ151" i="136"/>
  <c r="EA151" i="136"/>
  <c r="EB151" i="136"/>
  <c r="DY152" i="136"/>
  <c r="DZ152" i="136"/>
  <c r="EA152" i="136"/>
  <c r="EB152" i="136"/>
  <c r="DY153" i="136"/>
  <c r="DZ153" i="136"/>
  <c r="EA153" i="136"/>
  <c r="EB153" i="136"/>
  <c r="DY154" i="136"/>
  <c r="DZ154" i="136"/>
  <c r="EA154" i="136"/>
  <c r="EB154" i="136"/>
  <c r="DY155" i="136"/>
  <c r="DZ155" i="136"/>
  <c r="EA155" i="136"/>
  <c r="EB155" i="136"/>
  <c r="DY156" i="136"/>
  <c r="DZ156" i="136"/>
  <c r="EA156" i="136"/>
  <c r="EB156" i="136"/>
  <c r="DY157" i="136"/>
  <c r="DZ157" i="136"/>
  <c r="EA157" i="136"/>
  <c r="EB157" i="136"/>
  <c r="DY158" i="136"/>
  <c r="DZ158" i="136"/>
  <c r="EA158" i="136"/>
  <c r="EB158" i="136"/>
  <c r="DY159" i="136"/>
  <c r="DZ159" i="136"/>
  <c r="EA159" i="136"/>
  <c r="EB159" i="136"/>
  <c r="DY160" i="136"/>
  <c r="DZ160" i="136"/>
  <c r="EA160" i="136"/>
  <c r="EB160" i="136"/>
  <c r="DY161" i="136"/>
  <c r="DZ161" i="136"/>
  <c r="EA161" i="136"/>
  <c r="EB161" i="136"/>
  <c r="DY162" i="136"/>
  <c r="DZ162" i="136"/>
  <c r="EA162" i="136"/>
  <c r="EB162" i="136"/>
  <c r="DY163" i="136"/>
  <c r="DZ163" i="136"/>
  <c r="EA163" i="136"/>
  <c r="EB163" i="136"/>
  <c r="DY164" i="136"/>
  <c r="DZ164" i="136"/>
  <c r="EA164" i="136"/>
  <c r="EB164" i="136"/>
  <c r="DZ3" i="136"/>
  <c r="EA3" i="136"/>
  <c r="EB3" i="136"/>
  <c r="DY3" i="136"/>
  <c r="DR4" i="136"/>
  <c r="AD11" i="4" s="1"/>
  <c r="DR5" i="136"/>
  <c r="AD12" i="4" s="1"/>
  <c r="DR6" i="136"/>
  <c r="AD13" i="4" s="1"/>
  <c r="DR7" i="136"/>
  <c r="AD14" i="4" s="1"/>
  <c r="DR8" i="136"/>
  <c r="AD15" i="4" s="1"/>
  <c r="DR9" i="136"/>
  <c r="AD17" i="4" s="1"/>
  <c r="DR10" i="136"/>
  <c r="AD18" i="4" s="1"/>
  <c r="DR11" i="136"/>
  <c r="AD19" i="4" s="1"/>
  <c r="DR12" i="136"/>
  <c r="AD20" i="4" s="1"/>
  <c r="DR13" i="136"/>
  <c r="AD21" i="4" s="1"/>
  <c r="DR14" i="136"/>
  <c r="AD22" i="4" s="1"/>
  <c r="DR15" i="136"/>
  <c r="AD23" i="4" s="1"/>
  <c r="DR16" i="136"/>
  <c r="AD26" i="4" s="1"/>
  <c r="DR17" i="136"/>
  <c r="AD27" i="4" s="1"/>
  <c r="DR18" i="136"/>
  <c r="AD28" i="4" s="1"/>
  <c r="DR19" i="136"/>
  <c r="AD29" i="4" s="1"/>
  <c r="DR20" i="136"/>
  <c r="AD30" i="4" s="1"/>
  <c r="DR21" i="136"/>
  <c r="AD31" i="4" s="1"/>
  <c r="DR22" i="136"/>
  <c r="AD33" i="4" s="1"/>
  <c r="DR23" i="136"/>
  <c r="AD34" i="4" s="1"/>
  <c r="DR24" i="136"/>
  <c r="AD36" i="4" s="1"/>
  <c r="DR25" i="136"/>
  <c r="AD38" i="4" s="1"/>
  <c r="DR26" i="136"/>
  <c r="AD39" i="4" s="1"/>
  <c r="DR27" i="136"/>
  <c r="AD42" i="4" s="1"/>
  <c r="DR28" i="136"/>
  <c r="AD43" i="4" s="1"/>
  <c r="DR29" i="136"/>
  <c r="AD44" i="4" s="1"/>
  <c r="DR30" i="136"/>
  <c r="AD45" i="4" s="1"/>
  <c r="DR31" i="136"/>
  <c r="AD46" i="4" s="1"/>
  <c r="DR32" i="136"/>
  <c r="AD47" i="4" s="1"/>
  <c r="DR33" i="136"/>
  <c r="AD49" i="4" s="1"/>
  <c r="DR34" i="136"/>
  <c r="AD50" i="4" s="1"/>
  <c r="DR35" i="136"/>
  <c r="AD51" i="4" s="1"/>
  <c r="DR36" i="136"/>
  <c r="AD52" i="4" s="1"/>
  <c r="DR37" i="136"/>
  <c r="AD53" i="4" s="1"/>
  <c r="DR38" i="136"/>
  <c r="AD54" i="4" s="1"/>
  <c r="DR39" i="136"/>
  <c r="AD57" i="4" s="1"/>
  <c r="DR40" i="136"/>
  <c r="AD58" i="4" s="1"/>
  <c r="DR41" i="136"/>
  <c r="AD59" i="4" s="1"/>
  <c r="DR42" i="136"/>
  <c r="AD60" i="4" s="1"/>
  <c r="DR43" i="136"/>
  <c r="AD61" i="4" s="1"/>
  <c r="DR44" i="136"/>
  <c r="AD62" i="4" s="1"/>
  <c r="DR45" i="136"/>
  <c r="AD64" i="4" s="1"/>
  <c r="DR46" i="136"/>
  <c r="AD65" i="4" s="1"/>
  <c r="DR47" i="136"/>
  <c r="AD66" i="4" s="1"/>
  <c r="DR48" i="136"/>
  <c r="AD67" i="4" s="1"/>
  <c r="DR49" i="136"/>
  <c r="AD69" i="4" s="1"/>
  <c r="DR50" i="136"/>
  <c r="AD70" i="4" s="1"/>
  <c r="DR51" i="136"/>
  <c r="AD73" i="4" s="1"/>
  <c r="DR52" i="136"/>
  <c r="AD74" i="4" s="1"/>
  <c r="DR53" i="136"/>
  <c r="AD75" i="4" s="1"/>
  <c r="DR54" i="136"/>
  <c r="AD76" i="4" s="1"/>
  <c r="DR55" i="136"/>
  <c r="AD77" i="4" s="1"/>
  <c r="DR56" i="136"/>
  <c r="AD80" i="4" s="1"/>
  <c r="DR57" i="136"/>
  <c r="AD89" i="4" s="1"/>
  <c r="DR58" i="136"/>
  <c r="AD90" i="4" s="1"/>
  <c r="DR59" i="136"/>
  <c r="AD97" i="4" s="1"/>
  <c r="DR60" i="136"/>
  <c r="AD101" i="4" s="1"/>
  <c r="DR61" i="136"/>
  <c r="AD103" i="4" s="1"/>
  <c r="DR62" i="136"/>
  <c r="AD104" i="4" s="1"/>
  <c r="DR63" i="136"/>
  <c r="AD105" i="4" s="1"/>
  <c r="DR64" i="136"/>
  <c r="AD107" i="4" s="1"/>
  <c r="DR65" i="136"/>
  <c r="AD108" i="4" s="1"/>
  <c r="DR66" i="136"/>
  <c r="AD109" i="4" s="1"/>
  <c r="DR67" i="136"/>
  <c r="AD110" i="4" s="1"/>
  <c r="DR68" i="136"/>
  <c r="AD111" i="4" s="1"/>
  <c r="DR69" i="136"/>
  <c r="AD112" i="4" s="1"/>
  <c r="DR70" i="136"/>
  <c r="AD113" i="4" s="1"/>
  <c r="DR71" i="136"/>
  <c r="AD114" i="4" s="1"/>
  <c r="DR72" i="136"/>
  <c r="AD120" i="4" s="1"/>
  <c r="DR73" i="136"/>
  <c r="AD121" i="4" s="1"/>
  <c r="DR74" i="136"/>
  <c r="AD122" i="4" s="1"/>
  <c r="DR75" i="136"/>
  <c r="AD123" i="4" s="1"/>
  <c r="DR76" i="136"/>
  <c r="AD124" i="4" s="1"/>
  <c r="DR77" i="136"/>
  <c r="AD125" i="4" s="1"/>
  <c r="DR78" i="136"/>
  <c r="AD127" i="4" s="1"/>
  <c r="DR79" i="136"/>
  <c r="AD128" i="4" s="1"/>
  <c r="DR80" i="136"/>
  <c r="AD129" i="4" s="1"/>
  <c r="DR81" i="136"/>
  <c r="AD130" i="4" s="1"/>
  <c r="DR82" i="136"/>
  <c r="AD131" i="4" s="1"/>
  <c r="DR83" i="136"/>
  <c r="AD132" i="4" s="1"/>
  <c r="DR84" i="136"/>
  <c r="AD133" i="4" s="1"/>
  <c r="DR85" i="136"/>
  <c r="AD134" i="4" s="1"/>
  <c r="DR86" i="136"/>
  <c r="AD135" i="4" s="1"/>
  <c r="DR87" i="136"/>
  <c r="AD139" i="4" s="1"/>
  <c r="DR88" i="136"/>
  <c r="AD140" i="4" s="1"/>
  <c r="DR89" i="136"/>
  <c r="AD141" i="4" s="1"/>
  <c r="DR90" i="136"/>
  <c r="AD143" i="4" s="1"/>
  <c r="DR91" i="136"/>
  <c r="AD144" i="4" s="1"/>
  <c r="DR92" i="136"/>
  <c r="AD145" i="4" s="1"/>
  <c r="DR93" i="136"/>
  <c r="AD153" i="4" s="1"/>
  <c r="DR94" i="136"/>
  <c r="AD162" i="4" s="1"/>
  <c r="DR95" i="136"/>
  <c r="AD169" i="4" s="1"/>
  <c r="DR96" i="136"/>
  <c r="AD182" i="4" s="1"/>
  <c r="DR97" i="136"/>
  <c r="AD183" i="4" s="1"/>
  <c r="DR98" i="136"/>
  <c r="AD184" i="4" s="1"/>
  <c r="DR99" i="136"/>
  <c r="AD200" i="4" s="1"/>
  <c r="DR100" i="136"/>
  <c r="AD201" i="4" s="1"/>
  <c r="DR101" i="136"/>
  <c r="AD202" i="4" s="1"/>
  <c r="DR102" i="136"/>
  <c r="AD203" i="4" s="1"/>
  <c r="DR103" i="136"/>
  <c r="AD204" i="4" s="1"/>
  <c r="DR3" i="136"/>
  <c r="AD10" i="4" s="1"/>
  <c r="L32" i="54" l="1"/>
  <c r="L221" i="39"/>
  <c r="DL9" i="139"/>
  <c r="DN9" i="139"/>
  <c r="DM9" i="139"/>
  <c r="N22" i="37"/>
  <c r="N52" i="37"/>
  <c r="EV14" i="138"/>
  <c r="N45" i="37"/>
  <c r="N57" i="37"/>
  <c r="N58" i="37"/>
  <c r="N47" i="37"/>
  <c r="N55" i="37"/>
  <c r="N50" i="37"/>
  <c r="N21" i="37"/>
  <c r="N51" i="37"/>
  <c r="N49" i="37"/>
  <c r="AC16" i="37"/>
  <c r="AC14" i="37" s="1"/>
  <c r="AC12" i="37" s="1"/>
  <c r="N210" i="39"/>
  <c r="O210" i="39" s="1"/>
  <c r="AC55" i="35"/>
  <c r="AC54" i="35" s="1"/>
  <c r="AC53" i="35" s="1"/>
  <c r="AC27" i="35"/>
  <c r="AC21" i="35"/>
  <c r="AC37" i="35"/>
  <c r="AC48" i="37"/>
  <c r="AC43" i="37"/>
  <c r="AD9" i="4"/>
  <c r="CY4" i="139"/>
  <c r="CZ4" i="139"/>
  <c r="DA4" i="139"/>
  <c r="CY5" i="139"/>
  <c r="CZ5" i="139"/>
  <c r="DA5" i="139"/>
  <c r="CY6" i="139"/>
  <c r="CZ6" i="139"/>
  <c r="DA6" i="139"/>
  <c r="CY7" i="139"/>
  <c r="CZ7" i="139"/>
  <c r="DA7" i="139"/>
  <c r="CY8" i="139"/>
  <c r="CZ8" i="139"/>
  <c r="DA8" i="139"/>
  <c r="CZ3" i="139"/>
  <c r="DA3" i="139"/>
  <c r="CY3" i="139"/>
  <c r="AB35" i="37"/>
  <c r="EL4" i="138"/>
  <c r="EM4" i="138"/>
  <c r="EN4" i="138"/>
  <c r="EL5" i="138"/>
  <c r="EM5" i="138"/>
  <c r="EN5" i="138"/>
  <c r="EL6" i="138"/>
  <c r="EM6" i="138"/>
  <c r="EN6" i="138"/>
  <c r="EL7" i="138"/>
  <c r="EM7" i="138"/>
  <c r="EN7" i="138"/>
  <c r="EL8" i="138"/>
  <c r="EM8" i="138"/>
  <c r="EN8" i="138"/>
  <c r="EL9" i="138"/>
  <c r="EM9" i="138"/>
  <c r="EN9" i="138"/>
  <c r="EL10" i="138"/>
  <c r="EM10" i="138"/>
  <c r="EN10" i="138"/>
  <c r="EL11" i="138"/>
  <c r="EM11" i="138"/>
  <c r="EN11" i="138"/>
  <c r="EL12" i="138"/>
  <c r="EM12" i="138"/>
  <c r="EN12" i="138"/>
  <c r="EL13" i="138"/>
  <c r="EM13" i="138"/>
  <c r="EN13" i="138"/>
  <c r="EL14" i="138"/>
  <c r="EM14" i="138"/>
  <c r="EN14" i="138"/>
  <c r="EL15" i="138"/>
  <c r="EM15" i="138"/>
  <c r="EN15" i="138"/>
  <c r="EL16" i="138"/>
  <c r="EM16" i="138"/>
  <c r="EN16" i="138"/>
  <c r="EL17" i="138"/>
  <c r="EM17" i="138"/>
  <c r="EN17" i="138"/>
  <c r="EL18" i="138"/>
  <c r="EM18" i="138"/>
  <c r="EN18" i="138"/>
  <c r="EL19" i="138"/>
  <c r="EM19" i="138"/>
  <c r="EN19" i="138"/>
  <c r="EL20" i="138"/>
  <c r="EM20" i="138"/>
  <c r="EN20" i="138"/>
  <c r="EL21" i="138"/>
  <c r="EM21" i="138"/>
  <c r="EN21" i="138"/>
  <c r="EL22" i="138"/>
  <c r="EM22" i="138"/>
  <c r="EN22" i="138"/>
  <c r="EL23" i="138"/>
  <c r="EM23" i="138"/>
  <c r="EN23" i="138"/>
  <c r="EL24" i="138"/>
  <c r="EM24" i="138"/>
  <c r="EN24" i="138"/>
  <c r="EL25" i="138"/>
  <c r="EM25" i="138"/>
  <c r="EN25" i="138"/>
  <c r="EL26" i="138"/>
  <c r="EM26" i="138"/>
  <c r="EN26" i="138"/>
  <c r="EL27" i="138"/>
  <c r="EM27" i="138"/>
  <c r="EN27" i="138"/>
  <c r="EL28" i="138"/>
  <c r="EM28" i="138"/>
  <c r="EN28" i="138"/>
  <c r="EL29" i="138"/>
  <c r="EM29" i="138"/>
  <c r="EN29" i="138"/>
  <c r="EL30" i="138"/>
  <c r="EM30" i="138"/>
  <c r="EN30" i="138"/>
  <c r="EL31" i="138"/>
  <c r="EM31" i="138"/>
  <c r="EN31" i="138"/>
  <c r="EL32" i="138"/>
  <c r="EM32" i="138"/>
  <c r="EN32" i="138"/>
  <c r="EL33" i="138"/>
  <c r="EM33" i="138"/>
  <c r="EN33" i="138"/>
  <c r="EL34" i="138"/>
  <c r="EM34" i="138"/>
  <c r="EN34" i="138"/>
  <c r="EL35" i="138"/>
  <c r="EM35" i="138"/>
  <c r="EN35" i="138"/>
  <c r="EL36" i="138"/>
  <c r="EM36" i="138"/>
  <c r="EN36" i="138"/>
  <c r="EL37" i="138"/>
  <c r="EM37" i="138"/>
  <c r="EN37" i="138"/>
  <c r="EL38" i="138"/>
  <c r="EM38" i="138"/>
  <c r="EN38" i="138"/>
  <c r="EL39" i="138"/>
  <c r="EM39" i="138"/>
  <c r="EN39" i="138"/>
  <c r="EL40" i="138"/>
  <c r="EM40" i="138"/>
  <c r="EN40" i="138"/>
  <c r="EL41" i="138"/>
  <c r="EM41" i="138"/>
  <c r="EN41" i="138"/>
  <c r="EL42" i="138"/>
  <c r="EM42" i="138"/>
  <c r="EN42" i="138"/>
  <c r="EL43" i="138"/>
  <c r="EM43" i="138"/>
  <c r="EN43" i="138"/>
  <c r="EL44" i="138"/>
  <c r="EM44" i="138"/>
  <c r="EN44" i="138"/>
  <c r="EL45" i="138"/>
  <c r="EM45" i="138"/>
  <c r="EN45" i="138"/>
  <c r="EL46" i="138"/>
  <c r="EM46" i="138"/>
  <c r="EN46" i="138"/>
  <c r="EL47" i="138"/>
  <c r="EM47" i="138"/>
  <c r="EN47" i="138"/>
  <c r="EL48" i="138"/>
  <c r="EM48" i="138"/>
  <c r="EN48" i="138"/>
  <c r="EL49" i="138"/>
  <c r="EM49" i="138"/>
  <c r="EN49" i="138"/>
  <c r="EL50" i="138"/>
  <c r="EM50" i="138"/>
  <c r="EN50" i="138"/>
  <c r="EL51" i="138"/>
  <c r="EM51" i="138"/>
  <c r="EN51" i="138"/>
  <c r="EL52" i="138"/>
  <c r="EM52" i="138"/>
  <c r="EN52" i="138"/>
  <c r="EL53" i="138"/>
  <c r="EM53" i="138"/>
  <c r="EN53" i="138"/>
  <c r="EL54" i="138"/>
  <c r="EM54" i="138"/>
  <c r="EN54" i="138"/>
  <c r="EL55" i="138"/>
  <c r="EM55" i="138"/>
  <c r="EN55" i="138"/>
  <c r="EM3" i="138"/>
  <c r="EN3" i="138"/>
  <c r="EL3" i="138"/>
  <c r="EB4" i="138"/>
  <c r="AB17" i="37" s="1"/>
  <c r="EB5" i="138"/>
  <c r="AB18" i="37" s="1"/>
  <c r="EB6" i="138"/>
  <c r="AB23" i="37" s="1"/>
  <c r="EB7" i="138"/>
  <c r="AB44" i="37" s="1"/>
  <c r="EB8" i="138"/>
  <c r="AB45" i="37" s="1"/>
  <c r="EB9" i="138"/>
  <c r="AB46" i="37" s="1"/>
  <c r="EB10" i="138"/>
  <c r="AB49" i="37" s="1"/>
  <c r="EB11" i="138"/>
  <c r="AB51" i="37" s="1"/>
  <c r="EB12" i="138"/>
  <c r="AB52" i="37" s="1"/>
  <c r="EB13" i="138"/>
  <c r="AB53" i="37" s="1"/>
  <c r="EB14" i="138"/>
  <c r="AB54" i="37" s="1"/>
  <c r="EB15" i="138"/>
  <c r="AB57" i="37" s="1"/>
  <c r="EB16" i="138"/>
  <c r="AB58" i="37" s="1"/>
  <c r="EB3" i="138"/>
  <c r="AB21" i="37" s="1"/>
  <c r="AB61" i="35"/>
  <c r="AB35" i="35"/>
  <c r="AB33" i="35"/>
  <c r="EG3" i="137"/>
  <c r="EF3" i="137"/>
  <c r="EE3" i="137"/>
  <c r="EE4" i="137"/>
  <c r="EF4" i="137"/>
  <c r="EG4" i="137"/>
  <c r="EE5" i="137"/>
  <c r="EF5" i="137"/>
  <c r="EG5" i="137"/>
  <c r="EE6" i="137"/>
  <c r="EF6" i="137"/>
  <c r="EG6" i="137"/>
  <c r="EE7" i="137"/>
  <c r="EF7" i="137"/>
  <c r="EG7" i="137"/>
  <c r="EE8" i="137"/>
  <c r="EF8" i="137"/>
  <c r="EG8" i="137"/>
  <c r="EE9" i="137"/>
  <c r="EF9" i="137"/>
  <c r="EG9" i="137"/>
  <c r="EE10" i="137"/>
  <c r="EF10" i="137"/>
  <c r="EG10" i="137"/>
  <c r="EE11" i="137"/>
  <c r="EF11" i="137"/>
  <c r="EG11" i="137"/>
  <c r="EE12" i="137"/>
  <c r="EF12" i="137"/>
  <c r="EG12" i="137"/>
  <c r="EE13" i="137"/>
  <c r="EF13" i="137"/>
  <c r="EG13" i="137"/>
  <c r="EE14" i="137"/>
  <c r="EF14" i="137"/>
  <c r="EG14" i="137"/>
  <c r="EE15" i="137"/>
  <c r="EF15" i="137"/>
  <c r="EG15" i="137"/>
  <c r="EE16" i="137"/>
  <c r="EF16" i="137"/>
  <c r="EG16" i="137"/>
  <c r="EE17" i="137"/>
  <c r="EF17" i="137"/>
  <c r="EG17" i="137"/>
  <c r="EE18" i="137"/>
  <c r="EF18" i="137"/>
  <c r="EG18" i="137"/>
  <c r="EE19" i="137"/>
  <c r="EF19" i="137"/>
  <c r="EG19" i="137"/>
  <c r="EE20" i="137"/>
  <c r="EF20" i="137"/>
  <c r="EG20" i="137"/>
  <c r="EE21" i="137"/>
  <c r="EF21" i="137"/>
  <c r="EG21" i="137"/>
  <c r="EE22" i="137"/>
  <c r="EF22" i="137"/>
  <c r="EG22" i="137"/>
  <c r="EE23" i="137"/>
  <c r="EF23" i="137"/>
  <c r="EG23" i="137"/>
  <c r="EE24" i="137"/>
  <c r="EF24" i="137"/>
  <c r="EG24" i="137"/>
  <c r="EE25" i="137"/>
  <c r="EF25" i="137"/>
  <c r="EG25" i="137"/>
  <c r="EE26" i="137"/>
  <c r="EF26" i="137"/>
  <c r="EG26" i="137"/>
  <c r="EE27" i="137"/>
  <c r="EF27" i="137"/>
  <c r="EG27" i="137"/>
  <c r="EE28" i="137"/>
  <c r="EF28" i="137"/>
  <c r="EG28" i="137"/>
  <c r="EE29" i="137"/>
  <c r="EF29" i="137"/>
  <c r="EG29" i="137"/>
  <c r="EE30" i="137"/>
  <c r="EF30" i="137"/>
  <c r="EG30" i="137"/>
  <c r="EE31" i="137"/>
  <c r="EF31" i="137"/>
  <c r="EG31" i="137"/>
  <c r="EE32" i="137"/>
  <c r="EF32" i="137"/>
  <c r="EG32" i="137"/>
  <c r="EE33" i="137"/>
  <c r="EF33" i="137"/>
  <c r="EG33" i="137"/>
  <c r="EE34" i="137"/>
  <c r="EF34" i="137"/>
  <c r="EG34" i="137"/>
  <c r="EE35" i="137"/>
  <c r="EF35" i="137"/>
  <c r="EG35" i="137"/>
  <c r="EE36" i="137"/>
  <c r="EF36" i="137"/>
  <c r="EG36" i="137"/>
  <c r="EE37" i="137"/>
  <c r="EF37" i="137"/>
  <c r="EG37" i="137"/>
  <c r="EE38" i="137"/>
  <c r="EF38" i="137"/>
  <c r="EG38" i="137"/>
  <c r="EE39" i="137"/>
  <c r="EF39" i="137"/>
  <c r="EG39" i="137"/>
  <c r="EE40" i="137"/>
  <c r="EF40" i="137"/>
  <c r="EG40" i="137"/>
  <c r="EE41" i="137"/>
  <c r="EF41" i="137"/>
  <c r="EG41" i="137"/>
  <c r="EE42" i="137"/>
  <c r="EF42" i="137"/>
  <c r="EG42" i="137"/>
  <c r="EE43" i="137"/>
  <c r="EF43" i="137"/>
  <c r="EG43" i="137"/>
  <c r="EE44" i="137"/>
  <c r="EF44" i="137"/>
  <c r="EG44" i="137"/>
  <c r="EE45" i="137"/>
  <c r="EF45" i="137"/>
  <c r="EG45" i="137"/>
  <c r="EE46" i="137"/>
  <c r="EF46" i="137"/>
  <c r="EG46" i="137"/>
  <c r="EE47" i="137"/>
  <c r="EF47" i="137"/>
  <c r="EG47" i="137"/>
  <c r="EE48" i="137"/>
  <c r="EF48" i="137"/>
  <c r="EG48" i="137"/>
  <c r="EE49" i="137"/>
  <c r="EF49" i="137"/>
  <c r="EG49" i="137"/>
  <c r="EE50" i="137"/>
  <c r="EF50" i="137"/>
  <c r="EG50" i="137"/>
  <c r="EE51" i="137"/>
  <c r="EF51" i="137"/>
  <c r="EG51" i="137"/>
  <c r="EE52" i="137"/>
  <c r="EF52" i="137"/>
  <c r="EG52" i="137"/>
  <c r="EE53" i="137"/>
  <c r="EF53" i="137"/>
  <c r="EG53" i="137"/>
  <c r="DV4" i="137"/>
  <c r="AB26" i="35" s="1"/>
  <c r="DV5" i="137"/>
  <c r="AB30" i="35" s="1"/>
  <c r="DV6" i="137"/>
  <c r="AB28" i="35" s="1"/>
  <c r="DV7" i="137"/>
  <c r="AB38" i="35" s="1"/>
  <c r="DV8" i="137"/>
  <c r="AB40" i="35" s="1"/>
  <c r="DV9" i="137"/>
  <c r="AB56" i="35" s="1"/>
  <c r="DV10" i="137"/>
  <c r="AB57" i="35" s="1"/>
  <c r="DV11" i="137"/>
  <c r="AB58" i="35" s="1"/>
  <c r="DV3" i="137"/>
  <c r="AB22" i="35" s="1"/>
  <c r="DJ4" i="136"/>
  <c r="DK4" i="136"/>
  <c r="DL4" i="136"/>
  <c r="DM4" i="136"/>
  <c r="DJ5" i="136"/>
  <c r="DK5" i="136"/>
  <c r="DL5" i="136"/>
  <c r="DM5" i="136"/>
  <c r="DJ6" i="136"/>
  <c r="DK6" i="136"/>
  <c r="DL6" i="136"/>
  <c r="DM6" i="136"/>
  <c r="DJ7" i="136"/>
  <c r="DK7" i="136"/>
  <c r="DL7" i="136"/>
  <c r="DM7" i="136"/>
  <c r="DJ8" i="136"/>
  <c r="DK8" i="136"/>
  <c r="DL8" i="136"/>
  <c r="DM8" i="136"/>
  <c r="DJ9" i="136"/>
  <c r="DK9" i="136"/>
  <c r="DL9" i="136"/>
  <c r="DM9" i="136"/>
  <c r="DJ10" i="136"/>
  <c r="DK10" i="136"/>
  <c r="DL10" i="136"/>
  <c r="DM10" i="136"/>
  <c r="DJ11" i="136"/>
  <c r="DK11" i="136"/>
  <c r="DL11" i="136"/>
  <c r="DM11" i="136"/>
  <c r="DJ12" i="136"/>
  <c r="DK12" i="136"/>
  <c r="DL12" i="136"/>
  <c r="DM12" i="136"/>
  <c r="DJ13" i="136"/>
  <c r="DK13" i="136"/>
  <c r="DL13" i="136"/>
  <c r="DM13" i="136"/>
  <c r="DJ14" i="136"/>
  <c r="DK14" i="136"/>
  <c r="DL14" i="136"/>
  <c r="DM14" i="136"/>
  <c r="DJ15" i="136"/>
  <c r="DK15" i="136"/>
  <c r="DL15" i="136"/>
  <c r="DM15" i="136"/>
  <c r="DJ16" i="136"/>
  <c r="DK16" i="136"/>
  <c r="DL16" i="136"/>
  <c r="DM16" i="136"/>
  <c r="DJ17" i="136"/>
  <c r="DK17" i="136"/>
  <c r="DL17" i="136"/>
  <c r="DM17" i="136"/>
  <c r="DJ18" i="136"/>
  <c r="DK18" i="136"/>
  <c r="DL18" i="136"/>
  <c r="DM18" i="136"/>
  <c r="DJ19" i="136"/>
  <c r="DK19" i="136"/>
  <c r="DL19" i="136"/>
  <c r="DM19" i="136"/>
  <c r="DJ20" i="136"/>
  <c r="DK20" i="136"/>
  <c r="DL20" i="136"/>
  <c r="DM20" i="136"/>
  <c r="DJ21" i="136"/>
  <c r="DK21" i="136"/>
  <c r="DL21" i="136"/>
  <c r="DM21" i="136"/>
  <c r="DJ22" i="136"/>
  <c r="DK22" i="136"/>
  <c r="DL22" i="136"/>
  <c r="DM22" i="136"/>
  <c r="DJ23" i="136"/>
  <c r="DK23" i="136"/>
  <c r="DL23" i="136"/>
  <c r="DM23" i="136"/>
  <c r="DJ24" i="136"/>
  <c r="DK24" i="136"/>
  <c r="DL24" i="136"/>
  <c r="DM24" i="136"/>
  <c r="DJ25" i="136"/>
  <c r="DK25" i="136"/>
  <c r="DL25" i="136"/>
  <c r="DM25" i="136"/>
  <c r="DJ26" i="136"/>
  <c r="DK26" i="136"/>
  <c r="DL26" i="136"/>
  <c r="DM26" i="136"/>
  <c r="DJ27" i="136"/>
  <c r="DK27" i="136"/>
  <c r="DL27" i="136"/>
  <c r="DM27" i="136"/>
  <c r="DJ28" i="136"/>
  <c r="DK28" i="136"/>
  <c r="DL28" i="136"/>
  <c r="DM28" i="136"/>
  <c r="DJ29" i="136"/>
  <c r="DK29" i="136"/>
  <c r="DL29" i="136"/>
  <c r="DM29" i="136"/>
  <c r="DJ30" i="136"/>
  <c r="DK30" i="136"/>
  <c r="DL30" i="136"/>
  <c r="DM30" i="136"/>
  <c r="DJ31" i="136"/>
  <c r="DK31" i="136"/>
  <c r="DL31" i="136"/>
  <c r="DM31" i="136"/>
  <c r="DJ32" i="136"/>
  <c r="DK32" i="136"/>
  <c r="DL32" i="136"/>
  <c r="DM32" i="136"/>
  <c r="DJ33" i="136"/>
  <c r="DK33" i="136"/>
  <c r="DL33" i="136"/>
  <c r="DM33" i="136"/>
  <c r="DJ34" i="136"/>
  <c r="DK34" i="136"/>
  <c r="DL34" i="136"/>
  <c r="DM34" i="136"/>
  <c r="DJ35" i="136"/>
  <c r="DK35" i="136"/>
  <c r="DL35" i="136"/>
  <c r="DM35" i="136"/>
  <c r="DJ36" i="136"/>
  <c r="DK36" i="136"/>
  <c r="DL36" i="136"/>
  <c r="DM36" i="136"/>
  <c r="DJ37" i="136"/>
  <c r="DK37" i="136"/>
  <c r="DL37" i="136"/>
  <c r="DM37" i="136"/>
  <c r="DJ38" i="136"/>
  <c r="DK38" i="136"/>
  <c r="DL38" i="136"/>
  <c r="DM38" i="136"/>
  <c r="DJ39" i="136"/>
  <c r="DK39" i="136"/>
  <c r="DL39" i="136"/>
  <c r="DM39" i="136"/>
  <c r="DJ40" i="136"/>
  <c r="DK40" i="136"/>
  <c r="DL40" i="136"/>
  <c r="DM40" i="136"/>
  <c r="DJ41" i="136"/>
  <c r="DK41" i="136"/>
  <c r="DL41" i="136"/>
  <c r="DM41" i="136"/>
  <c r="DJ42" i="136"/>
  <c r="DK42" i="136"/>
  <c r="DL42" i="136"/>
  <c r="DM42" i="136"/>
  <c r="DJ43" i="136"/>
  <c r="DK43" i="136"/>
  <c r="DL43" i="136"/>
  <c r="DM43" i="136"/>
  <c r="DJ44" i="136"/>
  <c r="DK44" i="136"/>
  <c r="DL44" i="136"/>
  <c r="DM44" i="136"/>
  <c r="DJ45" i="136"/>
  <c r="DK45" i="136"/>
  <c r="DL45" i="136"/>
  <c r="DM45" i="136"/>
  <c r="DJ46" i="136"/>
  <c r="DK46" i="136"/>
  <c r="DL46" i="136"/>
  <c r="DM46" i="136"/>
  <c r="DJ47" i="136"/>
  <c r="DK47" i="136"/>
  <c r="DL47" i="136"/>
  <c r="DM47" i="136"/>
  <c r="DJ48" i="136"/>
  <c r="DK48" i="136"/>
  <c r="DL48" i="136"/>
  <c r="DM48" i="136"/>
  <c r="DJ49" i="136"/>
  <c r="DK49" i="136"/>
  <c r="DL49" i="136"/>
  <c r="DM49" i="136"/>
  <c r="DJ50" i="136"/>
  <c r="DK50" i="136"/>
  <c r="DL50" i="136"/>
  <c r="DM50" i="136"/>
  <c r="DJ51" i="136"/>
  <c r="DK51" i="136"/>
  <c r="DL51" i="136"/>
  <c r="DM51" i="136"/>
  <c r="DJ52" i="136"/>
  <c r="DK52" i="136"/>
  <c r="DL52" i="136"/>
  <c r="DM52" i="136"/>
  <c r="DJ53" i="136"/>
  <c r="DK53" i="136"/>
  <c r="DL53" i="136"/>
  <c r="DM53" i="136"/>
  <c r="DJ54" i="136"/>
  <c r="DK54" i="136"/>
  <c r="DL54" i="136"/>
  <c r="DM54" i="136"/>
  <c r="DJ55" i="136"/>
  <c r="DK55" i="136"/>
  <c r="DL55" i="136"/>
  <c r="DM55" i="136"/>
  <c r="DJ56" i="136"/>
  <c r="DK56" i="136"/>
  <c r="DL56" i="136"/>
  <c r="DM56" i="136"/>
  <c r="DJ57" i="136"/>
  <c r="DK57" i="136"/>
  <c r="DL57" i="136"/>
  <c r="DM57" i="136"/>
  <c r="DJ58" i="136"/>
  <c r="DK58" i="136"/>
  <c r="DL58" i="136"/>
  <c r="DM58" i="136"/>
  <c r="DJ59" i="136"/>
  <c r="DK59" i="136"/>
  <c r="DL59" i="136"/>
  <c r="DM59" i="136"/>
  <c r="DJ60" i="136"/>
  <c r="DK60" i="136"/>
  <c r="DL60" i="136"/>
  <c r="DM60" i="136"/>
  <c r="DJ61" i="136"/>
  <c r="DK61" i="136"/>
  <c r="DL61" i="136"/>
  <c r="DM61" i="136"/>
  <c r="DJ62" i="136"/>
  <c r="DK62" i="136"/>
  <c r="DL62" i="136"/>
  <c r="DM62" i="136"/>
  <c r="DJ63" i="136"/>
  <c r="DK63" i="136"/>
  <c r="DL63" i="136"/>
  <c r="DM63" i="136"/>
  <c r="DJ64" i="136"/>
  <c r="DK64" i="136"/>
  <c r="DL64" i="136"/>
  <c r="DM64" i="136"/>
  <c r="DJ65" i="136"/>
  <c r="DK65" i="136"/>
  <c r="DL65" i="136"/>
  <c r="DM65" i="136"/>
  <c r="DJ66" i="136"/>
  <c r="DK66" i="136"/>
  <c r="DL66" i="136"/>
  <c r="DM66" i="136"/>
  <c r="DJ67" i="136"/>
  <c r="DK67" i="136"/>
  <c r="DL67" i="136"/>
  <c r="DM67" i="136"/>
  <c r="DJ68" i="136"/>
  <c r="DK68" i="136"/>
  <c r="DL68" i="136"/>
  <c r="DM68" i="136"/>
  <c r="DJ69" i="136"/>
  <c r="DK69" i="136"/>
  <c r="DL69" i="136"/>
  <c r="DM69" i="136"/>
  <c r="DJ70" i="136"/>
  <c r="DK70" i="136"/>
  <c r="DL70" i="136"/>
  <c r="DM70" i="136"/>
  <c r="DJ71" i="136"/>
  <c r="DK71" i="136"/>
  <c r="DL71" i="136"/>
  <c r="DM71" i="136"/>
  <c r="DJ72" i="136"/>
  <c r="DK72" i="136"/>
  <c r="DL72" i="136"/>
  <c r="DM72" i="136"/>
  <c r="DJ73" i="136"/>
  <c r="DK73" i="136"/>
  <c r="DL73" i="136"/>
  <c r="DM73" i="136"/>
  <c r="DJ74" i="136"/>
  <c r="DK74" i="136"/>
  <c r="DL74" i="136"/>
  <c r="DM74" i="136"/>
  <c r="DJ75" i="136"/>
  <c r="DK75" i="136"/>
  <c r="DL75" i="136"/>
  <c r="DM75" i="136"/>
  <c r="DJ76" i="136"/>
  <c r="DK76" i="136"/>
  <c r="DL76" i="136"/>
  <c r="DM76" i="136"/>
  <c r="DJ77" i="136"/>
  <c r="DK77" i="136"/>
  <c r="DL77" i="136"/>
  <c r="DM77" i="136"/>
  <c r="DJ78" i="136"/>
  <c r="DK78" i="136"/>
  <c r="DL78" i="136"/>
  <c r="DM78" i="136"/>
  <c r="DJ79" i="136"/>
  <c r="DK79" i="136"/>
  <c r="DL79" i="136"/>
  <c r="DM79" i="136"/>
  <c r="DJ80" i="136"/>
  <c r="DK80" i="136"/>
  <c r="DL80" i="136"/>
  <c r="DM80" i="136"/>
  <c r="DJ81" i="136"/>
  <c r="DK81" i="136"/>
  <c r="DL81" i="136"/>
  <c r="DM81" i="136"/>
  <c r="DJ82" i="136"/>
  <c r="DK82" i="136"/>
  <c r="DL82" i="136"/>
  <c r="DM82" i="136"/>
  <c r="DJ83" i="136"/>
  <c r="DK83" i="136"/>
  <c r="DL83" i="136"/>
  <c r="DM83" i="136"/>
  <c r="DJ84" i="136"/>
  <c r="DK84" i="136"/>
  <c r="DL84" i="136"/>
  <c r="DM84" i="136"/>
  <c r="DJ85" i="136"/>
  <c r="DK85" i="136"/>
  <c r="DL85" i="136"/>
  <c r="DM85" i="136"/>
  <c r="DJ86" i="136"/>
  <c r="DK86" i="136"/>
  <c r="DL86" i="136"/>
  <c r="DM86" i="136"/>
  <c r="DJ87" i="136"/>
  <c r="DK87" i="136"/>
  <c r="DL87" i="136"/>
  <c r="DM87" i="136"/>
  <c r="DJ88" i="136"/>
  <c r="DK88" i="136"/>
  <c r="DL88" i="136"/>
  <c r="DM88" i="136"/>
  <c r="DJ89" i="136"/>
  <c r="DK89" i="136"/>
  <c r="DL89" i="136"/>
  <c r="DM89" i="136"/>
  <c r="DJ90" i="136"/>
  <c r="DK90" i="136"/>
  <c r="DL90" i="136"/>
  <c r="DM90" i="136"/>
  <c r="DJ91" i="136"/>
  <c r="DK91" i="136"/>
  <c r="DL91" i="136"/>
  <c r="DM91" i="136"/>
  <c r="DJ92" i="136"/>
  <c r="DK92" i="136"/>
  <c r="DL92" i="136"/>
  <c r="DM92" i="136"/>
  <c r="DJ93" i="136"/>
  <c r="DK93" i="136"/>
  <c r="DL93" i="136"/>
  <c r="DM93" i="136"/>
  <c r="DJ94" i="136"/>
  <c r="DK94" i="136"/>
  <c r="DL94" i="136"/>
  <c r="DM94" i="136"/>
  <c r="DJ95" i="136"/>
  <c r="DK95" i="136"/>
  <c r="DL95" i="136"/>
  <c r="DM95" i="136"/>
  <c r="DJ96" i="136"/>
  <c r="DK96" i="136"/>
  <c r="DL96" i="136"/>
  <c r="DM96" i="136"/>
  <c r="DJ97" i="136"/>
  <c r="DK97" i="136"/>
  <c r="DL97" i="136"/>
  <c r="DM97" i="136"/>
  <c r="DJ98" i="136"/>
  <c r="DK98" i="136"/>
  <c r="DL98" i="136"/>
  <c r="DM98" i="136"/>
  <c r="DJ99" i="136"/>
  <c r="DK99" i="136"/>
  <c r="DL99" i="136"/>
  <c r="DM99" i="136"/>
  <c r="DJ100" i="136"/>
  <c r="DK100" i="136"/>
  <c r="DL100" i="136"/>
  <c r="DM100" i="136"/>
  <c r="DJ101" i="136"/>
  <c r="DK101" i="136"/>
  <c r="DL101" i="136"/>
  <c r="DM101" i="136"/>
  <c r="DJ102" i="136"/>
  <c r="DK102" i="136"/>
  <c r="DL102" i="136"/>
  <c r="DM102" i="136"/>
  <c r="DJ103" i="136"/>
  <c r="DK103" i="136"/>
  <c r="DL103" i="136"/>
  <c r="DM103" i="136"/>
  <c r="DJ104" i="136"/>
  <c r="DK104" i="136"/>
  <c r="DL104" i="136"/>
  <c r="DM104" i="136"/>
  <c r="DJ105" i="136"/>
  <c r="DK105" i="136"/>
  <c r="DL105" i="136"/>
  <c r="DM105" i="136"/>
  <c r="DJ106" i="136"/>
  <c r="DK106" i="136"/>
  <c r="DL106" i="136"/>
  <c r="DM106" i="136"/>
  <c r="DJ107" i="136"/>
  <c r="DK107" i="136"/>
  <c r="DL107" i="136"/>
  <c r="DM107" i="136"/>
  <c r="DJ108" i="136"/>
  <c r="DK108" i="136"/>
  <c r="DL108" i="136"/>
  <c r="DM108" i="136"/>
  <c r="DJ109" i="136"/>
  <c r="DK109" i="136"/>
  <c r="DL109" i="136"/>
  <c r="DM109" i="136"/>
  <c r="DJ110" i="136"/>
  <c r="DK110" i="136"/>
  <c r="DL110" i="136"/>
  <c r="DM110" i="136"/>
  <c r="DJ111" i="136"/>
  <c r="DK111" i="136"/>
  <c r="DL111" i="136"/>
  <c r="DM111" i="136"/>
  <c r="DJ112" i="136"/>
  <c r="DK112" i="136"/>
  <c r="DL112" i="136"/>
  <c r="DM112" i="136"/>
  <c r="DJ113" i="136"/>
  <c r="DK113" i="136"/>
  <c r="DL113" i="136"/>
  <c r="DM113" i="136"/>
  <c r="DJ114" i="136"/>
  <c r="DK114" i="136"/>
  <c r="DL114" i="136"/>
  <c r="DM114" i="136"/>
  <c r="DJ115" i="136"/>
  <c r="DK115" i="136"/>
  <c r="DL115" i="136"/>
  <c r="DM115" i="136"/>
  <c r="DJ116" i="136"/>
  <c r="DK116" i="136"/>
  <c r="DL116" i="136"/>
  <c r="DM116" i="136"/>
  <c r="DJ117" i="136"/>
  <c r="DK117" i="136"/>
  <c r="DL117" i="136"/>
  <c r="DM117" i="136"/>
  <c r="DJ118" i="136"/>
  <c r="DK118" i="136"/>
  <c r="DL118" i="136"/>
  <c r="DM118" i="136"/>
  <c r="DJ119" i="136"/>
  <c r="DK119" i="136"/>
  <c r="DL119" i="136"/>
  <c r="DM119" i="136"/>
  <c r="DJ120" i="136"/>
  <c r="DK120" i="136"/>
  <c r="DL120" i="136"/>
  <c r="DM120" i="136"/>
  <c r="DJ121" i="136"/>
  <c r="DK121" i="136"/>
  <c r="DL121" i="136"/>
  <c r="DM121" i="136"/>
  <c r="DJ122" i="136"/>
  <c r="DK122" i="136"/>
  <c r="DL122" i="136"/>
  <c r="DM122" i="136"/>
  <c r="DJ123" i="136"/>
  <c r="DK123" i="136"/>
  <c r="DL123" i="136"/>
  <c r="DM123" i="136"/>
  <c r="DJ124" i="136"/>
  <c r="DK124" i="136"/>
  <c r="DL124" i="136"/>
  <c r="DM124" i="136"/>
  <c r="DJ125" i="136"/>
  <c r="DK125" i="136"/>
  <c r="DL125" i="136"/>
  <c r="DM125" i="136"/>
  <c r="DJ126" i="136"/>
  <c r="DK126" i="136"/>
  <c r="DL126" i="136"/>
  <c r="DM126" i="136"/>
  <c r="DJ127" i="136"/>
  <c r="DK127" i="136"/>
  <c r="DL127" i="136"/>
  <c r="DM127" i="136"/>
  <c r="DJ128" i="136"/>
  <c r="DK128" i="136"/>
  <c r="DL128" i="136"/>
  <c r="DM128" i="136"/>
  <c r="DJ129" i="136"/>
  <c r="DK129" i="136"/>
  <c r="DL129" i="136"/>
  <c r="DM129" i="136"/>
  <c r="DJ130" i="136"/>
  <c r="DK130" i="136"/>
  <c r="DL130" i="136"/>
  <c r="DM130" i="136"/>
  <c r="DJ131" i="136"/>
  <c r="DK131" i="136"/>
  <c r="DL131" i="136"/>
  <c r="DM131" i="136"/>
  <c r="DJ132" i="136"/>
  <c r="DK132" i="136"/>
  <c r="DL132" i="136"/>
  <c r="DM132" i="136"/>
  <c r="DJ133" i="136"/>
  <c r="DK133" i="136"/>
  <c r="DL133" i="136"/>
  <c r="DM133" i="136"/>
  <c r="DJ134" i="136"/>
  <c r="DK134" i="136"/>
  <c r="DL134" i="136"/>
  <c r="DM134" i="136"/>
  <c r="DJ135" i="136"/>
  <c r="DK135" i="136"/>
  <c r="DL135" i="136"/>
  <c r="DM135" i="136"/>
  <c r="DJ136" i="136"/>
  <c r="DK136" i="136"/>
  <c r="DL136" i="136"/>
  <c r="DM136" i="136"/>
  <c r="DJ137" i="136"/>
  <c r="DK137" i="136"/>
  <c r="DL137" i="136"/>
  <c r="DM137" i="136"/>
  <c r="DJ138" i="136"/>
  <c r="DK138" i="136"/>
  <c r="DL138" i="136"/>
  <c r="DM138" i="136"/>
  <c r="DJ139" i="136"/>
  <c r="DK139" i="136"/>
  <c r="DL139" i="136"/>
  <c r="DM139" i="136"/>
  <c r="DJ140" i="136"/>
  <c r="DK140" i="136"/>
  <c r="DL140" i="136"/>
  <c r="DM140" i="136"/>
  <c r="DJ141" i="136"/>
  <c r="DK141" i="136"/>
  <c r="DL141" i="136"/>
  <c r="DM141" i="136"/>
  <c r="DJ142" i="136"/>
  <c r="DK142" i="136"/>
  <c r="DL142" i="136"/>
  <c r="DM142" i="136"/>
  <c r="DJ143" i="136"/>
  <c r="DK143" i="136"/>
  <c r="DL143" i="136"/>
  <c r="DM143" i="136"/>
  <c r="DJ144" i="136"/>
  <c r="DK144" i="136"/>
  <c r="DL144" i="136"/>
  <c r="DM144" i="136"/>
  <c r="DJ145" i="136"/>
  <c r="DK145" i="136"/>
  <c r="DL145" i="136"/>
  <c r="DM145" i="136"/>
  <c r="DJ146" i="136"/>
  <c r="DK146" i="136"/>
  <c r="DL146" i="136"/>
  <c r="DM146" i="136"/>
  <c r="DJ147" i="136"/>
  <c r="DK147" i="136"/>
  <c r="DL147" i="136"/>
  <c r="DM147" i="136"/>
  <c r="DJ148" i="136"/>
  <c r="DK148" i="136"/>
  <c r="DL148" i="136"/>
  <c r="DM148" i="136"/>
  <c r="DJ149" i="136"/>
  <c r="DK149" i="136"/>
  <c r="DL149" i="136"/>
  <c r="DM149" i="136"/>
  <c r="DJ150" i="136"/>
  <c r="DK150" i="136"/>
  <c r="DL150" i="136"/>
  <c r="DM150" i="136"/>
  <c r="DJ151" i="136"/>
  <c r="DK151" i="136"/>
  <c r="DL151" i="136"/>
  <c r="DM151" i="136"/>
  <c r="DJ152" i="136"/>
  <c r="DK152" i="136"/>
  <c r="DL152" i="136"/>
  <c r="DM152" i="136"/>
  <c r="DJ153" i="136"/>
  <c r="DK153" i="136"/>
  <c r="DL153" i="136"/>
  <c r="DM153" i="136"/>
  <c r="DJ154" i="136"/>
  <c r="DK154" i="136"/>
  <c r="DL154" i="136"/>
  <c r="DM154" i="136"/>
  <c r="DJ155" i="136"/>
  <c r="DK155" i="136"/>
  <c r="DL155" i="136"/>
  <c r="DM155" i="136"/>
  <c r="DJ156" i="136"/>
  <c r="DK156" i="136"/>
  <c r="DL156" i="136"/>
  <c r="DM156" i="136"/>
  <c r="DJ157" i="136"/>
  <c r="DK157" i="136"/>
  <c r="DL157" i="136"/>
  <c r="DM157" i="136"/>
  <c r="DJ158" i="136"/>
  <c r="DK158" i="136"/>
  <c r="DL158" i="136"/>
  <c r="DM158" i="136"/>
  <c r="DJ159" i="136"/>
  <c r="DK159" i="136"/>
  <c r="DL159" i="136"/>
  <c r="DM159" i="136"/>
  <c r="DJ160" i="136"/>
  <c r="DK160" i="136"/>
  <c r="DL160" i="136"/>
  <c r="DM160" i="136"/>
  <c r="DJ161" i="136"/>
  <c r="DK161" i="136"/>
  <c r="DL161" i="136"/>
  <c r="DM161" i="136"/>
  <c r="DJ162" i="136"/>
  <c r="DK162" i="136"/>
  <c r="DL162" i="136"/>
  <c r="DM162" i="136"/>
  <c r="DK3" i="136"/>
  <c r="DL3" i="136"/>
  <c r="DM3" i="136"/>
  <c r="DJ3" i="136"/>
  <c r="DB4" i="136"/>
  <c r="AC11" i="4" s="1"/>
  <c r="DB5" i="136"/>
  <c r="AC12" i="4" s="1"/>
  <c r="DB6" i="136"/>
  <c r="AC13" i="4" s="1"/>
  <c r="DB7" i="136"/>
  <c r="AC14" i="4" s="1"/>
  <c r="DB8" i="136"/>
  <c r="AC15" i="4" s="1"/>
  <c r="DB9" i="136"/>
  <c r="AC17" i="4" s="1"/>
  <c r="DB10" i="136"/>
  <c r="AC18" i="4" s="1"/>
  <c r="DB11" i="136"/>
  <c r="AC19" i="4" s="1"/>
  <c r="DB12" i="136"/>
  <c r="AC20" i="4" s="1"/>
  <c r="DB13" i="136"/>
  <c r="AC21" i="4" s="1"/>
  <c r="DB14" i="136"/>
  <c r="AC22" i="4" s="1"/>
  <c r="DB15" i="136"/>
  <c r="AC23" i="4" s="1"/>
  <c r="DB16" i="136"/>
  <c r="AC26" i="4" s="1"/>
  <c r="DB17" i="136"/>
  <c r="AC27" i="4" s="1"/>
  <c r="DB18" i="136"/>
  <c r="AC28" i="4" s="1"/>
  <c r="DB19" i="136"/>
  <c r="AC29" i="4" s="1"/>
  <c r="DB20" i="136"/>
  <c r="AC30" i="4" s="1"/>
  <c r="DB21" i="136"/>
  <c r="AC31" i="4" s="1"/>
  <c r="DB22" i="136"/>
  <c r="AC33" i="4" s="1"/>
  <c r="DB23" i="136"/>
  <c r="AC34" i="4" s="1"/>
  <c r="DB24" i="136"/>
  <c r="AC36" i="4" s="1"/>
  <c r="DB25" i="136"/>
  <c r="AC38" i="4" s="1"/>
  <c r="DB26" i="136"/>
  <c r="AC40" i="4" s="1"/>
  <c r="DB27" i="136"/>
  <c r="AC42" i="4" s="1"/>
  <c r="DB28" i="136"/>
  <c r="AC43" i="4" s="1"/>
  <c r="DB29" i="136"/>
  <c r="AC44" i="4" s="1"/>
  <c r="DB30" i="136"/>
  <c r="AC45" i="4" s="1"/>
  <c r="DB31" i="136"/>
  <c r="AC46" i="4" s="1"/>
  <c r="DB32" i="136"/>
  <c r="AC47" i="4" s="1"/>
  <c r="DB33" i="136"/>
  <c r="AC49" i="4" s="1"/>
  <c r="DB34" i="136"/>
  <c r="AC50" i="4" s="1"/>
  <c r="DB35" i="136"/>
  <c r="AC51" i="4" s="1"/>
  <c r="DB36" i="136"/>
  <c r="AC52" i="4" s="1"/>
  <c r="DB37" i="136"/>
  <c r="AC53" i="4" s="1"/>
  <c r="DB38" i="136"/>
  <c r="AC54" i="4" s="1"/>
  <c r="DB39" i="136"/>
  <c r="AC57" i="4" s="1"/>
  <c r="DB40" i="136"/>
  <c r="AC58" i="4" s="1"/>
  <c r="DB41" i="136"/>
  <c r="AC59" i="4" s="1"/>
  <c r="DB42" i="136"/>
  <c r="AC60" i="4" s="1"/>
  <c r="DB43" i="136"/>
  <c r="AC61" i="4" s="1"/>
  <c r="DB44" i="136"/>
  <c r="AC62" i="4" s="1"/>
  <c r="DB45" i="136"/>
  <c r="AC64" i="4" s="1"/>
  <c r="DB46" i="136"/>
  <c r="AC65" i="4" s="1"/>
  <c r="DB47" i="136"/>
  <c r="AC66" i="4" s="1"/>
  <c r="DB48" i="136"/>
  <c r="AC67" i="4" s="1"/>
  <c r="DB49" i="136"/>
  <c r="AC69" i="4" s="1"/>
  <c r="DB50" i="136"/>
  <c r="AC71" i="4" s="1"/>
  <c r="DB51" i="136"/>
  <c r="AC73" i="4" s="1"/>
  <c r="DB52" i="136"/>
  <c r="AC74" i="4" s="1"/>
  <c r="DB53" i="136"/>
  <c r="AC75" i="4" s="1"/>
  <c r="DB54" i="136"/>
  <c r="AC76" i="4" s="1"/>
  <c r="DB55" i="136"/>
  <c r="AC77" i="4" s="1"/>
  <c r="DB56" i="136"/>
  <c r="AC80" i="4" s="1"/>
  <c r="DB57" i="136"/>
  <c r="AC83" i="4" s="1"/>
  <c r="DB58" i="136"/>
  <c r="AC85" i="4" s="1"/>
  <c r="DB59" i="136"/>
  <c r="AC89" i="4" s="1"/>
  <c r="DB60" i="136"/>
  <c r="AC90" i="4" s="1"/>
  <c r="DB61" i="136"/>
  <c r="AC95" i="4" s="1"/>
  <c r="DB62" i="136"/>
  <c r="AC97" i="4" s="1"/>
  <c r="DB63" i="136"/>
  <c r="AC98" i="4" s="1"/>
  <c r="DB64" i="136"/>
  <c r="AC99" i="4" s="1"/>
  <c r="DB65" i="136"/>
  <c r="AC101" i="4" s="1"/>
  <c r="DB66" i="136"/>
  <c r="AC102" i="4" s="1"/>
  <c r="DB67" i="136"/>
  <c r="AC103" i="4" s="1"/>
  <c r="DB68" i="136"/>
  <c r="AC104" i="4" s="1"/>
  <c r="DB69" i="136"/>
  <c r="AC105" i="4" s="1"/>
  <c r="DB70" i="136"/>
  <c r="AC106" i="4" s="1"/>
  <c r="DB71" i="136"/>
  <c r="AC107" i="4" s="1"/>
  <c r="DB72" i="136"/>
  <c r="AC110" i="4" s="1"/>
  <c r="DB73" i="136"/>
  <c r="AC112" i="4" s="1"/>
  <c r="DB74" i="136"/>
  <c r="AC113" i="4" s="1"/>
  <c r="DB75" i="136"/>
  <c r="AC114" i="4" s="1"/>
  <c r="DB76" i="136"/>
  <c r="AC116" i="4" s="1"/>
  <c r="DB77" i="136"/>
  <c r="AC118" i="4" s="1"/>
  <c r="DB78" i="136"/>
  <c r="AC120" i="4" s="1"/>
  <c r="DB79" i="136"/>
  <c r="AC121" i="4" s="1"/>
  <c r="DB80" i="136"/>
  <c r="AC123" i="4" s="1"/>
  <c r="DB81" i="136"/>
  <c r="AC124" i="4" s="1"/>
  <c r="DB82" i="136"/>
  <c r="AC125" i="4" s="1"/>
  <c r="DB83" i="136"/>
  <c r="AC127" i="4" s="1"/>
  <c r="DB84" i="136"/>
  <c r="AC128" i="4" s="1"/>
  <c r="DB85" i="136"/>
  <c r="AC130" i="4" s="1"/>
  <c r="DB86" i="136"/>
  <c r="AC131" i="4" s="1"/>
  <c r="DB87" i="136"/>
  <c r="AC132" i="4" s="1"/>
  <c r="DB88" i="136"/>
  <c r="AC133" i="4" s="1"/>
  <c r="DB89" i="136"/>
  <c r="AC134" i="4" s="1"/>
  <c r="DB90" i="136"/>
  <c r="AC135" i="4" s="1"/>
  <c r="DB91" i="136"/>
  <c r="AC139" i="4" s="1"/>
  <c r="DB92" i="136"/>
  <c r="AC140" i="4" s="1"/>
  <c r="DB93" i="136"/>
  <c r="AC141" i="4" s="1"/>
  <c r="DB94" i="136"/>
  <c r="AC142" i="4" s="1"/>
  <c r="DB95" i="136"/>
  <c r="AC143" i="4" s="1"/>
  <c r="DB96" i="136"/>
  <c r="AC144" i="4" s="1"/>
  <c r="DB97" i="136"/>
  <c r="AC145" i="4" s="1"/>
  <c r="DB98" i="136"/>
  <c r="AC153" i="4" s="1"/>
  <c r="DB99" i="136"/>
  <c r="AC162" i="4" s="1"/>
  <c r="DB100" i="136"/>
  <c r="AC167" i="4" s="1"/>
  <c r="DB101" i="136"/>
  <c r="AC169" i="4" s="1"/>
  <c r="DB102" i="136"/>
  <c r="AC182" i="4" s="1"/>
  <c r="DB103" i="136"/>
  <c r="AC183" i="4" s="1"/>
  <c r="DB104" i="136"/>
  <c r="AC184" i="4" s="1"/>
  <c r="DB105" i="136"/>
  <c r="AC189" i="4" s="1"/>
  <c r="DB106" i="136"/>
  <c r="AC191" i="4" s="1"/>
  <c r="DB107" i="136"/>
  <c r="AC194" i="4" s="1"/>
  <c r="DB108" i="136"/>
  <c r="AC196" i="4" s="1"/>
  <c r="DB109" i="136"/>
  <c r="AC197" i="4" s="1"/>
  <c r="DB110" i="136"/>
  <c r="AC198" i="4" s="1"/>
  <c r="DB3" i="136"/>
  <c r="AC10" i="4" s="1"/>
  <c r="CL4" i="139"/>
  <c r="CM4" i="139"/>
  <c r="CN4" i="139"/>
  <c r="CL5" i="139"/>
  <c r="CM5" i="139"/>
  <c r="CN5" i="139"/>
  <c r="CL6" i="139"/>
  <c r="CM6" i="139"/>
  <c r="CN6" i="139"/>
  <c r="CL7" i="139"/>
  <c r="CM7" i="139"/>
  <c r="CN7" i="139"/>
  <c r="CL8" i="139"/>
  <c r="CM8" i="139"/>
  <c r="CN8" i="139"/>
  <c r="CM3" i="139"/>
  <c r="CN3" i="139"/>
  <c r="CL3" i="139"/>
  <c r="AA46" i="35"/>
  <c r="DM4" i="137"/>
  <c r="DN4" i="137"/>
  <c r="DO4" i="137"/>
  <c r="DM5" i="137"/>
  <c r="DN5" i="137"/>
  <c r="DO5" i="137"/>
  <c r="DM6" i="137"/>
  <c r="DN6" i="137"/>
  <c r="DO6" i="137"/>
  <c r="DM7" i="137"/>
  <c r="DN7" i="137"/>
  <c r="DO7" i="137"/>
  <c r="DM8" i="137"/>
  <c r="DN8" i="137"/>
  <c r="DO8" i="137"/>
  <c r="DM9" i="137"/>
  <c r="DN9" i="137"/>
  <c r="DO9" i="137"/>
  <c r="DM10" i="137"/>
  <c r="DN10" i="137"/>
  <c r="DO10" i="137"/>
  <c r="DM11" i="137"/>
  <c r="DN11" i="137"/>
  <c r="DO11" i="137"/>
  <c r="DM12" i="137"/>
  <c r="DN12" i="137"/>
  <c r="DO12" i="137"/>
  <c r="DM13" i="137"/>
  <c r="DN13" i="137"/>
  <c r="DO13" i="137"/>
  <c r="DM14" i="137"/>
  <c r="DN14" i="137"/>
  <c r="DO14" i="137"/>
  <c r="DM15" i="137"/>
  <c r="DN15" i="137"/>
  <c r="DO15" i="137"/>
  <c r="DM16" i="137"/>
  <c r="DN16" i="137"/>
  <c r="DO16" i="137"/>
  <c r="DM17" i="137"/>
  <c r="DN17" i="137"/>
  <c r="DO17" i="137"/>
  <c r="DM18" i="137"/>
  <c r="DN18" i="137"/>
  <c r="DO18" i="137"/>
  <c r="DM19" i="137"/>
  <c r="DN19" i="137"/>
  <c r="DO19" i="137"/>
  <c r="DM20" i="137"/>
  <c r="DN20" i="137"/>
  <c r="DO20" i="137"/>
  <c r="DM21" i="137"/>
  <c r="DN21" i="137"/>
  <c r="DO21" i="137"/>
  <c r="DM22" i="137"/>
  <c r="DN22" i="137"/>
  <c r="DO22" i="137"/>
  <c r="DM23" i="137"/>
  <c r="DN23" i="137"/>
  <c r="DO23" i="137"/>
  <c r="DM24" i="137"/>
  <c r="DN24" i="137"/>
  <c r="DO24" i="137"/>
  <c r="DM25" i="137"/>
  <c r="DN25" i="137"/>
  <c r="DO25" i="137"/>
  <c r="DM26" i="137"/>
  <c r="DN26" i="137"/>
  <c r="DO26" i="137"/>
  <c r="DM27" i="137"/>
  <c r="DN27" i="137"/>
  <c r="DO27" i="137"/>
  <c r="DM28" i="137"/>
  <c r="DN28" i="137"/>
  <c r="DO28" i="137"/>
  <c r="DM29" i="137"/>
  <c r="DN29" i="137"/>
  <c r="DO29" i="137"/>
  <c r="DM30" i="137"/>
  <c r="DN30" i="137"/>
  <c r="DO30" i="137"/>
  <c r="DM31" i="137"/>
  <c r="DN31" i="137"/>
  <c r="DO31" i="137"/>
  <c r="DM32" i="137"/>
  <c r="DN32" i="137"/>
  <c r="DO32" i="137"/>
  <c r="DM33" i="137"/>
  <c r="DN33" i="137"/>
  <c r="DO33" i="137"/>
  <c r="DM34" i="137"/>
  <c r="DN34" i="137"/>
  <c r="DO34" i="137"/>
  <c r="DM35" i="137"/>
  <c r="DN35" i="137"/>
  <c r="DO35" i="137"/>
  <c r="DM36" i="137"/>
  <c r="DN36" i="137"/>
  <c r="DO36" i="137"/>
  <c r="DM37" i="137"/>
  <c r="DN37" i="137"/>
  <c r="DO37" i="137"/>
  <c r="DM38" i="137"/>
  <c r="DN38" i="137"/>
  <c r="DO38" i="137"/>
  <c r="DM39" i="137"/>
  <c r="DN39" i="137"/>
  <c r="DO39" i="137"/>
  <c r="DM40" i="137"/>
  <c r="DN40" i="137"/>
  <c r="DO40" i="137"/>
  <c r="DM41" i="137"/>
  <c r="DN41" i="137"/>
  <c r="DO41" i="137"/>
  <c r="DM42" i="137"/>
  <c r="DN42" i="137"/>
  <c r="DO42" i="137"/>
  <c r="DM43" i="137"/>
  <c r="DN43" i="137"/>
  <c r="DO43" i="137"/>
  <c r="DM44" i="137"/>
  <c r="DN44" i="137"/>
  <c r="DO44" i="137"/>
  <c r="DM45" i="137"/>
  <c r="DN45" i="137"/>
  <c r="DO45" i="137"/>
  <c r="DM46" i="137"/>
  <c r="DN46" i="137"/>
  <c r="DO46" i="137"/>
  <c r="DM47" i="137"/>
  <c r="DN47" i="137"/>
  <c r="DO47" i="137"/>
  <c r="DM48" i="137"/>
  <c r="DN48" i="137"/>
  <c r="DO48" i="137"/>
  <c r="DM49" i="137"/>
  <c r="DN49" i="137"/>
  <c r="DO49" i="137"/>
  <c r="DM50" i="137"/>
  <c r="DN50" i="137"/>
  <c r="DO50" i="137"/>
  <c r="DM51" i="137"/>
  <c r="DN51" i="137"/>
  <c r="DO51" i="137"/>
  <c r="DM52" i="137"/>
  <c r="DN52" i="137"/>
  <c r="DO52" i="137"/>
  <c r="DN3" i="137"/>
  <c r="DO3" i="137"/>
  <c r="DM3" i="137"/>
  <c r="DD4" i="137"/>
  <c r="AA22" i="35" s="1"/>
  <c r="DD5" i="137"/>
  <c r="AA30" i="35" s="1"/>
  <c r="DD6" i="137"/>
  <c r="AA28" i="35" s="1"/>
  <c r="DD7" i="137"/>
  <c r="AA38" i="35" s="1"/>
  <c r="DD8" i="137"/>
  <c r="AA40" i="35" s="1"/>
  <c r="DD9" i="137"/>
  <c r="AA56" i="35" s="1"/>
  <c r="DD10" i="137"/>
  <c r="AA57" i="35" s="1"/>
  <c r="DD11" i="137"/>
  <c r="AA59" i="35" s="1"/>
  <c r="DD3" i="137"/>
  <c r="AA26" i="35" s="1"/>
  <c r="AA28" i="37"/>
  <c r="DR4" i="138"/>
  <c r="DS4" i="138"/>
  <c r="DT4" i="138"/>
  <c r="DR5" i="138"/>
  <c r="DS5" i="138"/>
  <c r="DT5" i="138"/>
  <c r="DR6" i="138"/>
  <c r="DS6" i="138"/>
  <c r="DT6" i="138"/>
  <c r="DR7" i="138"/>
  <c r="DS7" i="138"/>
  <c r="DT7" i="138"/>
  <c r="DR8" i="138"/>
  <c r="DS8" i="138"/>
  <c r="DT8" i="138"/>
  <c r="DR9" i="138"/>
  <c r="DS9" i="138"/>
  <c r="DT9" i="138"/>
  <c r="DR10" i="138"/>
  <c r="DS10" i="138"/>
  <c r="DT10" i="138"/>
  <c r="DR11" i="138"/>
  <c r="DS11" i="138"/>
  <c r="DT11" i="138"/>
  <c r="DR12" i="138"/>
  <c r="DS12" i="138"/>
  <c r="DT12" i="138"/>
  <c r="DR13" i="138"/>
  <c r="DS13" i="138"/>
  <c r="DT13" i="138"/>
  <c r="DR14" i="138"/>
  <c r="DS14" i="138"/>
  <c r="DT14" i="138"/>
  <c r="DR15" i="138"/>
  <c r="DS15" i="138"/>
  <c r="DT15" i="138"/>
  <c r="DR16" i="138"/>
  <c r="DS16" i="138"/>
  <c r="DT16" i="138"/>
  <c r="DR17" i="138"/>
  <c r="DS17" i="138"/>
  <c r="DT17" i="138"/>
  <c r="DR18" i="138"/>
  <c r="DS18" i="138"/>
  <c r="DT18" i="138"/>
  <c r="DR19" i="138"/>
  <c r="DS19" i="138"/>
  <c r="DT19" i="138"/>
  <c r="DR20" i="138"/>
  <c r="DS20" i="138"/>
  <c r="DT20" i="138"/>
  <c r="DR21" i="138"/>
  <c r="DS21" i="138"/>
  <c r="DT21" i="138"/>
  <c r="DR22" i="138"/>
  <c r="DS22" i="138"/>
  <c r="DT22" i="138"/>
  <c r="DR23" i="138"/>
  <c r="DS23" i="138"/>
  <c r="DT23" i="138"/>
  <c r="DR24" i="138"/>
  <c r="DS24" i="138"/>
  <c r="DT24" i="138"/>
  <c r="DR25" i="138"/>
  <c r="DS25" i="138"/>
  <c r="DT25" i="138"/>
  <c r="DR26" i="138"/>
  <c r="DS26" i="138"/>
  <c r="DT26" i="138"/>
  <c r="DR27" i="138"/>
  <c r="DS27" i="138"/>
  <c r="DT27" i="138"/>
  <c r="DR28" i="138"/>
  <c r="DS28" i="138"/>
  <c r="DT28" i="138"/>
  <c r="DR29" i="138"/>
  <c r="DS29" i="138"/>
  <c r="DT29" i="138"/>
  <c r="DR30" i="138"/>
  <c r="DS30" i="138"/>
  <c r="DT30" i="138"/>
  <c r="DR31" i="138"/>
  <c r="DS31" i="138"/>
  <c r="DT31" i="138"/>
  <c r="DR32" i="138"/>
  <c r="DS32" i="138"/>
  <c r="DT32" i="138"/>
  <c r="DR33" i="138"/>
  <c r="DS33" i="138"/>
  <c r="DT33" i="138"/>
  <c r="DR34" i="138"/>
  <c r="DS34" i="138"/>
  <c r="DT34" i="138"/>
  <c r="DR35" i="138"/>
  <c r="DS35" i="138"/>
  <c r="DT35" i="138"/>
  <c r="DR36" i="138"/>
  <c r="DS36" i="138"/>
  <c r="DT36" i="138"/>
  <c r="DR37" i="138"/>
  <c r="DS37" i="138"/>
  <c r="DT37" i="138"/>
  <c r="DR38" i="138"/>
  <c r="DS38" i="138"/>
  <c r="DT38" i="138"/>
  <c r="DR39" i="138"/>
  <c r="DS39" i="138"/>
  <c r="DT39" i="138"/>
  <c r="DR40" i="138"/>
  <c r="DS40" i="138"/>
  <c r="DT40" i="138"/>
  <c r="DR41" i="138"/>
  <c r="DS41" i="138"/>
  <c r="DT41" i="138"/>
  <c r="DR42" i="138"/>
  <c r="DS42" i="138"/>
  <c r="DT42" i="138"/>
  <c r="DR43" i="138"/>
  <c r="DS43" i="138"/>
  <c r="DT43" i="138"/>
  <c r="DR44" i="138"/>
  <c r="DS44" i="138"/>
  <c r="DT44" i="138"/>
  <c r="DR45" i="138"/>
  <c r="DS45" i="138"/>
  <c r="DT45" i="138"/>
  <c r="DR46" i="138"/>
  <c r="DS46" i="138"/>
  <c r="DT46" i="138"/>
  <c r="DR47" i="138"/>
  <c r="DS47" i="138"/>
  <c r="DT47" i="138"/>
  <c r="DR48" i="138"/>
  <c r="DS48" i="138"/>
  <c r="DT48" i="138"/>
  <c r="DR49" i="138"/>
  <c r="DS49" i="138"/>
  <c r="DT49" i="138"/>
  <c r="DR50" i="138"/>
  <c r="DS50" i="138"/>
  <c r="DT50" i="138"/>
  <c r="DR51" i="138"/>
  <c r="DS51" i="138"/>
  <c r="DT51" i="138"/>
  <c r="DR52" i="138"/>
  <c r="DS52" i="138"/>
  <c r="DT52" i="138"/>
  <c r="DR53" i="138"/>
  <c r="DS53" i="138"/>
  <c r="DT53" i="138"/>
  <c r="DR54" i="138"/>
  <c r="DS54" i="138"/>
  <c r="DT54" i="138"/>
  <c r="DR55" i="138"/>
  <c r="DS55" i="138"/>
  <c r="DT55" i="138"/>
  <c r="DS3" i="138"/>
  <c r="DT3" i="138"/>
  <c r="DR3" i="138"/>
  <c r="DH4" i="138"/>
  <c r="AA18" i="37" s="1"/>
  <c r="DH5" i="138"/>
  <c r="AA21" i="37" s="1"/>
  <c r="DH6" i="138"/>
  <c r="AA23" i="37" s="1"/>
  <c r="DH7" i="138"/>
  <c r="AA36" i="37" s="1"/>
  <c r="AA35" i="37" s="1"/>
  <c r="DH8" i="138"/>
  <c r="AA44" i="37" s="1"/>
  <c r="DH9" i="138"/>
  <c r="AA45" i="37" s="1"/>
  <c r="DH10" i="138"/>
  <c r="AA46" i="37" s="1"/>
  <c r="DH11" i="138"/>
  <c r="AA47" i="37" s="1"/>
  <c r="DH12" i="138"/>
  <c r="AA49" i="37" s="1"/>
  <c r="DH13" i="138"/>
  <c r="AA51" i="37" s="1"/>
  <c r="DH14" i="138"/>
  <c r="AA53" i="37" s="1"/>
  <c r="DH15" i="138"/>
  <c r="AA54" i="37" s="1"/>
  <c r="DH16" i="138"/>
  <c r="AA55" i="37" s="1"/>
  <c r="DH17" i="138"/>
  <c r="AA56" i="37" s="1"/>
  <c r="DH18" i="138"/>
  <c r="AA57" i="37" s="1"/>
  <c r="DH3" i="138"/>
  <c r="AA17" i="37" s="1"/>
  <c r="CU159" i="136"/>
  <c r="CV159" i="136"/>
  <c r="CW159" i="136"/>
  <c r="CX159" i="136"/>
  <c r="CU160" i="136"/>
  <c r="CV160" i="136"/>
  <c r="CW160" i="136"/>
  <c r="CX160" i="136"/>
  <c r="CU157" i="136"/>
  <c r="CV157" i="136"/>
  <c r="CW157" i="136"/>
  <c r="CX157" i="136"/>
  <c r="CU3" i="136"/>
  <c r="CU4" i="136"/>
  <c r="CV4" i="136"/>
  <c r="CW4" i="136"/>
  <c r="CX4" i="136"/>
  <c r="CU5" i="136"/>
  <c r="CV5" i="136"/>
  <c r="CW5" i="136"/>
  <c r="CX5" i="136"/>
  <c r="CU6" i="136"/>
  <c r="CV6" i="136"/>
  <c r="CW6" i="136"/>
  <c r="CX6" i="136"/>
  <c r="CU7" i="136"/>
  <c r="CV7" i="136"/>
  <c r="CW7" i="136"/>
  <c r="CX7" i="136"/>
  <c r="CU8" i="136"/>
  <c r="CV8" i="136"/>
  <c r="CW8" i="136"/>
  <c r="CX8" i="136"/>
  <c r="CU9" i="136"/>
  <c r="CV9" i="136"/>
  <c r="CW9" i="136"/>
  <c r="CX9" i="136"/>
  <c r="CU10" i="136"/>
  <c r="CV10" i="136"/>
  <c r="CW10" i="136"/>
  <c r="CX10" i="136"/>
  <c r="CU11" i="136"/>
  <c r="CV11" i="136"/>
  <c r="CW11" i="136"/>
  <c r="CX11" i="136"/>
  <c r="CU12" i="136"/>
  <c r="CV12" i="136"/>
  <c r="CW12" i="136"/>
  <c r="CX12" i="136"/>
  <c r="CU13" i="136"/>
  <c r="CV13" i="136"/>
  <c r="CW13" i="136"/>
  <c r="CX13" i="136"/>
  <c r="CU14" i="136"/>
  <c r="CV14" i="136"/>
  <c r="CW14" i="136"/>
  <c r="CX14" i="136"/>
  <c r="CU15" i="136"/>
  <c r="CV15" i="136"/>
  <c r="CW15" i="136"/>
  <c r="CX15" i="136"/>
  <c r="CU16" i="136"/>
  <c r="CV16" i="136"/>
  <c r="CW16" i="136"/>
  <c r="CX16" i="136"/>
  <c r="CU17" i="136"/>
  <c r="CV17" i="136"/>
  <c r="CW17" i="136"/>
  <c r="CX17" i="136"/>
  <c r="CU18" i="136"/>
  <c r="CV18" i="136"/>
  <c r="CW18" i="136"/>
  <c r="CX18" i="136"/>
  <c r="CU19" i="136"/>
  <c r="CV19" i="136"/>
  <c r="CW19" i="136"/>
  <c r="CX19" i="136"/>
  <c r="CU20" i="136"/>
  <c r="CV20" i="136"/>
  <c r="CW20" i="136"/>
  <c r="CX20" i="136"/>
  <c r="CU21" i="136"/>
  <c r="CV21" i="136"/>
  <c r="CW21" i="136"/>
  <c r="CX21" i="136"/>
  <c r="CU22" i="136"/>
  <c r="CV22" i="136"/>
  <c r="CW22" i="136"/>
  <c r="CX22" i="136"/>
  <c r="CU23" i="136"/>
  <c r="CV23" i="136"/>
  <c r="CW23" i="136"/>
  <c r="CX23" i="136"/>
  <c r="CU24" i="136"/>
  <c r="CV24" i="136"/>
  <c r="CW24" i="136"/>
  <c r="CX24" i="136"/>
  <c r="CU25" i="136"/>
  <c r="CV25" i="136"/>
  <c r="CW25" i="136"/>
  <c r="CX25" i="136"/>
  <c r="CU26" i="136"/>
  <c r="CV26" i="136"/>
  <c r="CW26" i="136"/>
  <c r="CX26" i="136"/>
  <c r="CU27" i="136"/>
  <c r="CV27" i="136"/>
  <c r="CW27" i="136"/>
  <c r="CX27" i="136"/>
  <c r="CU28" i="136"/>
  <c r="CV28" i="136"/>
  <c r="CW28" i="136"/>
  <c r="CX28" i="136"/>
  <c r="CU29" i="136"/>
  <c r="CV29" i="136"/>
  <c r="CW29" i="136"/>
  <c r="CX29" i="136"/>
  <c r="CU30" i="136"/>
  <c r="CV30" i="136"/>
  <c r="CW30" i="136"/>
  <c r="CX30" i="136"/>
  <c r="CU31" i="136"/>
  <c r="CV31" i="136"/>
  <c r="CW31" i="136"/>
  <c r="CX31" i="136"/>
  <c r="CU32" i="136"/>
  <c r="CV32" i="136"/>
  <c r="CW32" i="136"/>
  <c r="CX32" i="136"/>
  <c r="CU33" i="136"/>
  <c r="CV33" i="136"/>
  <c r="CW33" i="136"/>
  <c r="CX33" i="136"/>
  <c r="CU34" i="136"/>
  <c r="CV34" i="136"/>
  <c r="CW34" i="136"/>
  <c r="CX34" i="136"/>
  <c r="CU35" i="136"/>
  <c r="CV35" i="136"/>
  <c r="CW35" i="136"/>
  <c r="CX35" i="136"/>
  <c r="CU36" i="136"/>
  <c r="CV36" i="136"/>
  <c r="CW36" i="136"/>
  <c r="CX36" i="136"/>
  <c r="CU37" i="136"/>
  <c r="CV37" i="136"/>
  <c r="CW37" i="136"/>
  <c r="CX37" i="136"/>
  <c r="CU38" i="136"/>
  <c r="CV38" i="136"/>
  <c r="CW38" i="136"/>
  <c r="CX38" i="136"/>
  <c r="CU39" i="136"/>
  <c r="CV39" i="136"/>
  <c r="CW39" i="136"/>
  <c r="CX39" i="136"/>
  <c r="CU40" i="136"/>
  <c r="CV40" i="136"/>
  <c r="CW40" i="136"/>
  <c r="CX40" i="136"/>
  <c r="CU41" i="136"/>
  <c r="CV41" i="136"/>
  <c r="CW41" i="136"/>
  <c r="CX41" i="136"/>
  <c r="CU42" i="136"/>
  <c r="CV42" i="136"/>
  <c r="CW42" i="136"/>
  <c r="CX42" i="136"/>
  <c r="CU43" i="136"/>
  <c r="CV43" i="136"/>
  <c r="CW43" i="136"/>
  <c r="CX43" i="136"/>
  <c r="CU44" i="136"/>
  <c r="CV44" i="136"/>
  <c r="CW44" i="136"/>
  <c r="CX44" i="136"/>
  <c r="CU45" i="136"/>
  <c r="CV45" i="136"/>
  <c r="CW45" i="136"/>
  <c r="CX45" i="136"/>
  <c r="CU46" i="136"/>
  <c r="CV46" i="136"/>
  <c r="CW46" i="136"/>
  <c r="CX46" i="136"/>
  <c r="CU47" i="136"/>
  <c r="CV47" i="136"/>
  <c r="CW47" i="136"/>
  <c r="CX47" i="136"/>
  <c r="CU48" i="136"/>
  <c r="CV48" i="136"/>
  <c r="CW48" i="136"/>
  <c r="CX48" i="136"/>
  <c r="CU49" i="136"/>
  <c r="CV49" i="136"/>
  <c r="CW49" i="136"/>
  <c r="CX49" i="136"/>
  <c r="CU50" i="136"/>
  <c r="CV50" i="136"/>
  <c r="CW50" i="136"/>
  <c r="CX50" i="136"/>
  <c r="CU51" i="136"/>
  <c r="CV51" i="136"/>
  <c r="CW51" i="136"/>
  <c r="CX51" i="136"/>
  <c r="CU52" i="136"/>
  <c r="CV52" i="136"/>
  <c r="CW52" i="136"/>
  <c r="CX52" i="136"/>
  <c r="CU53" i="136"/>
  <c r="CV53" i="136"/>
  <c r="CW53" i="136"/>
  <c r="CX53" i="136"/>
  <c r="CU54" i="136"/>
  <c r="CV54" i="136"/>
  <c r="CW54" i="136"/>
  <c r="CX54" i="136"/>
  <c r="CU55" i="136"/>
  <c r="CV55" i="136"/>
  <c r="CW55" i="136"/>
  <c r="CX55" i="136"/>
  <c r="CU56" i="136"/>
  <c r="CV56" i="136"/>
  <c r="CW56" i="136"/>
  <c r="CX56" i="136"/>
  <c r="CU57" i="136"/>
  <c r="CV57" i="136"/>
  <c r="CW57" i="136"/>
  <c r="CX57" i="136"/>
  <c r="CU58" i="136"/>
  <c r="CV58" i="136"/>
  <c r="CW58" i="136"/>
  <c r="CX58" i="136"/>
  <c r="CU59" i="136"/>
  <c r="CV59" i="136"/>
  <c r="CW59" i="136"/>
  <c r="CX59" i="136"/>
  <c r="CU60" i="136"/>
  <c r="CV60" i="136"/>
  <c r="CW60" i="136"/>
  <c r="CX60" i="136"/>
  <c r="CU61" i="136"/>
  <c r="CV61" i="136"/>
  <c r="CW61" i="136"/>
  <c r="CX61" i="136"/>
  <c r="CU62" i="136"/>
  <c r="CV62" i="136"/>
  <c r="CW62" i="136"/>
  <c r="CX62" i="136"/>
  <c r="CU63" i="136"/>
  <c r="CV63" i="136"/>
  <c r="CW63" i="136"/>
  <c r="CX63" i="136"/>
  <c r="CU64" i="136"/>
  <c r="CV64" i="136"/>
  <c r="CW64" i="136"/>
  <c r="CX64" i="136"/>
  <c r="CU65" i="136"/>
  <c r="CV65" i="136"/>
  <c r="CW65" i="136"/>
  <c r="CX65" i="136"/>
  <c r="CU66" i="136"/>
  <c r="CV66" i="136"/>
  <c r="CW66" i="136"/>
  <c r="CX66" i="136"/>
  <c r="CU67" i="136"/>
  <c r="CV67" i="136"/>
  <c r="CW67" i="136"/>
  <c r="CX67" i="136"/>
  <c r="CU68" i="136"/>
  <c r="CV68" i="136"/>
  <c r="CW68" i="136"/>
  <c r="CX68" i="136"/>
  <c r="CU69" i="136"/>
  <c r="CV69" i="136"/>
  <c r="CW69" i="136"/>
  <c r="CX69" i="136"/>
  <c r="CU70" i="136"/>
  <c r="CV70" i="136"/>
  <c r="CW70" i="136"/>
  <c r="CX70" i="136"/>
  <c r="CU71" i="136"/>
  <c r="CV71" i="136"/>
  <c r="CW71" i="136"/>
  <c r="CX71" i="136"/>
  <c r="CU72" i="136"/>
  <c r="CV72" i="136"/>
  <c r="CW72" i="136"/>
  <c r="CX72" i="136"/>
  <c r="CU73" i="136"/>
  <c r="CV73" i="136"/>
  <c r="CW73" i="136"/>
  <c r="CX73" i="136"/>
  <c r="CU74" i="136"/>
  <c r="CV74" i="136"/>
  <c r="CW74" i="136"/>
  <c r="CX74" i="136"/>
  <c r="CU75" i="136"/>
  <c r="CV75" i="136"/>
  <c r="CW75" i="136"/>
  <c r="CX75" i="136"/>
  <c r="CU76" i="136"/>
  <c r="CV76" i="136"/>
  <c r="CW76" i="136"/>
  <c r="CX76" i="136"/>
  <c r="CU77" i="136"/>
  <c r="CV77" i="136"/>
  <c r="CW77" i="136"/>
  <c r="CX77" i="136"/>
  <c r="CU78" i="136"/>
  <c r="CV78" i="136"/>
  <c r="CW78" i="136"/>
  <c r="CX78" i="136"/>
  <c r="CU79" i="136"/>
  <c r="CV79" i="136"/>
  <c r="CW79" i="136"/>
  <c r="CX79" i="136"/>
  <c r="CU80" i="136"/>
  <c r="CV80" i="136"/>
  <c r="CW80" i="136"/>
  <c r="CX80" i="136"/>
  <c r="CU81" i="136"/>
  <c r="CV81" i="136"/>
  <c r="CW81" i="136"/>
  <c r="CX81" i="136"/>
  <c r="CU82" i="136"/>
  <c r="CV82" i="136"/>
  <c r="CW82" i="136"/>
  <c r="CX82" i="136"/>
  <c r="CU83" i="136"/>
  <c r="CV83" i="136"/>
  <c r="CW83" i="136"/>
  <c r="CX83" i="136"/>
  <c r="CU84" i="136"/>
  <c r="CV84" i="136"/>
  <c r="CW84" i="136"/>
  <c r="CX84" i="136"/>
  <c r="CU85" i="136"/>
  <c r="CV85" i="136"/>
  <c r="CW85" i="136"/>
  <c r="CX85" i="136"/>
  <c r="CU86" i="136"/>
  <c r="CV86" i="136"/>
  <c r="CW86" i="136"/>
  <c r="CX86" i="136"/>
  <c r="CU87" i="136"/>
  <c r="CV87" i="136"/>
  <c r="CW87" i="136"/>
  <c r="CX87" i="136"/>
  <c r="CU88" i="136"/>
  <c r="CV88" i="136"/>
  <c r="CW88" i="136"/>
  <c r="CX88" i="136"/>
  <c r="CU89" i="136"/>
  <c r="CV89" i="136"/>
  <c r="CW89" i="136"/>
  <c r="CX89" i="136"/>
  <c r="CU90" i="136"/>
  <c r="CV90" i="136"/>
  <c r="CW90" i="136"/>
  <c r="CX90" i="136"/>
  <c r="CU91" i="136"/>
  <c r="CV91" i="136"/>
  <c r="CW91" i="136"/>
  <c r="CX91" i="136"/>
  <c r="CU92" i="136"/>
  <c r="CV92" i="136"/>
  <c r="CW92" i="136"/>
  <c r="CX92" i="136"/>
  <c r="CU93" i="136"/>
  <c r="CV93" i="136"/>
  <c r="CW93" i="136"/>
  <c r="CX93" i="136"/>
  <c r="CU94" i="136"/>
  <c r="CV94" i="136"/>
  <c r="CW94" i="136"/>
  <c r="CX94" i="136"/>
  <c r="CU95" i="136"/>
  <c r="CV95" i="136"/>
  <c r="CW95" i="136"/>
  <c r="CX95" i="136"/>
  <c r="CU96" i="136"/>
  <c r="CV96" i="136"/>
  <c r="CW96" i="136"/>
  <c r="CX96" i="136"/>
  <c r="CU97" i="136"/>
  <c r="CV97" i="136"/>
  <c r="CW97" i="136"/>
  <c r="CX97" i="136"/>
  <c r="CU98" i="136"/>
  <c r="CV98" i="136"/>
  <c r="CW98" i="136"/>
  <c r="CX98" i="136"/>
  <c r="CU99" i="136"/>
  <c r="CV99" i="136"/>
  <c r="CW99" i="136"/>
  <c r="CX99" i="136"/>
  <c r="CU100" i="136"/>
  <c r="CV100" i="136"/>
  <c r="CW100" i="136"/>
  <c r="CX100" i="136"/>
  <c r="CU101" i="136"/>
  <c r="CV101" i="136"/>
  <c r="CW101" i="136"/>
  <c r="CX101" i="136"/>
  <c r="CU102" i="136"/>
  <c r="CV102" i="136"/>
  <c r="CW102" i="136"/>
  <c r="CX102" i="136"/>
  <c r="CU103" i="136"/>
  <c r="CV103" i="136"/>
  <c r="CW103" i="136"/>
  <c r="CX103" i="136"/>
  <c r="CU104" i="136"/>
  <c r="CV104" i="136"/>
  <c r="CW104" i="136"/>
  <c r="CX104" i="136"/>
  <c r="CU105" i="136"/>
  <c r="CV105" i="136"/>
  <c r="CW105" i="136"/>
  <c r="CX105" i="136"/>
  <c r="CU106" i="136"/>
  <c r="CV106" i="136"/>
  <c r="CW106" i="136"/>
  <c r="CX106" i="136"/>
  <c r="CU107" i="136"/>
  <c r="CV107" i="136"/>
  <c r="CW107" i="136"/>
  <c r="CX107" i="136"/>
  <c r="CU108" i="136"/>
  <c r="CV108" i="136"/>
  <c r="CW108" i="136"/>
  <c r="CX108" i="136"/>
  <c r="CU109" i="136"/>
  <c r="CV109" i="136"/>
  <c r="CW109" i="136"/>
  <c r="CX109" i="136"/>
  <c r="CU110" i="136"/>
  <c r="CV110" i="136"/>
  <c r="CW110" i="136"/>
  <c r="CX110" i="136"/>
  <c r="CU111" i="136"/>
  <c r="CV111" i="136"/>
  <c r="CW111" i="136"/>
  <c r="CX111" i="136"/>
  <c r="CU112" i="136"/>
  <c r="CV112" i="136"/>
  <c r="CW112" i="136"/>
  <c r="CX112" i="136"/>
  <c r="CU113" i="136"/>
  <c r="CV113" i="136"/>
  <c r="CW113" i="136"/>
  <c r="CX113" i="136"/>
  <c r="CU114" i="136"/>
  <c r="CV114" i="136"/>
  <c r="CW114" i="136"/>
  <c r="CX114" i="136"/>
  <c r="CU115" i="136"/>
  <c r="CV115" i="136"/>
  <c r="CW115" i="136"/>
  <c r="CX115" i="136"/>
  <c r="CU116" i="136"/>
  <c r="CV116" i="136"/>
  <c r="CW116" i="136"/>
  <c r="CX116" i="136"/>
  <c r="CU117" i="136"/>
  <c r="CV117" i="136"/>
  <c r="CW117" i="136"/>
  <c r="CX117" i="136"/>
  <c r="CU118" i="136"/>
  <c r="CV118" i="136"/>
  <c r="CW118" i="136"/>
  <c r="CX118" i="136"/>
  <c r="CU119" i="136"/>
  <c r="CV119" i="136"/>
  <c r="CW119" i="136"/>
  <c r="CX119" i="136"/>
  <c r="CU120" i="136"/>
  <c r="CV120" i="136"/>
  <c r="CW120" i="136"/>
  <c r="CX120" i="136"/>
  <c r="CU121" i="136"/>
  <c r="CV121" i="136"/>
  <c r="CW121" i="136"/>
  <c r="CX121" i="136"/>
  <c r="CU122" i="136"/>
  <c r="CV122" i="136"/>
  <c r="CW122" i="136"/>
  <c r="CX122" i="136"/>
  <c r="CU123" i="136"/>
  <c r="CV123" i="136"/>
  <c r="CW123" i="136"/>
  <c r="CX123" i="136"/>
  <c r="CU124" i="136"/>
  <c r="CV124" i="136"/>
  <c r="CW124" i="136"/>
  <c r="CX124" i="136"/>
  <c r="CU125" i="136"/>
  <c r="CV125" i="136"/>
  <c r="CW125" i="136"/>
  <c r="CX125" i="136"/>
  <c r="CU126" i="136"/>
  <c r="CV126" i="136"/>
  <c r="CW126" i="136"/>
  <c r="CX126" i="136"/>
  <c r="CU127" i="136"/>
  <c r="CV127" i="136"/>
  <c r="CW127" i="136"/>
  <c r="CX127" i="136"/>
  <c r="CU128" i="136"/>
  <c r="CV128" i="136"/>
  <c r="CW128" i="136"/>
  <c r="CX128" i="136"/>
  <c r="CU129" i="136"/>
  <c r="CV129" i="136"/>
  <c r="CW129" i="136"/>
  <c r="CX129" i="136"/>
  <c r="CU130" i="136"/>
  <c r="CV130" i="136"/>
  <c r="CW130" i="136"/>
  <c r="CX130" i="136"/>
  <c r="CU131" i="136"/>
  <c r="CV131" i="136"/>
  <c r="CW131" i="136"/>
  <c r="CX131" i="136"/>
  <c r="CU132" i="136"/>
  <c r="CV132" i="136"/>
  <c r="CW132" i="136"/>
  <c r="CX132" i="136"/>
  <c r="CU133" i="136"/>
  <c r="CV133" i="136"/>
  <c r="CW133" i="136"/>
  <c r="CX133" i="136"/>
  <c r="CU134" i="136"/>
  <c r="CV134" i="136"/>
  <c r="CW134" i="136"/>
  <c r="CX134" i="136"/>
  <c r="CU135" i="136"/>
  <c r="CV135" i="136"/>
  <c r="CW135" i="136"/>
  <c r="CX135" i="136"/>
  <c r="CU136" i="136"/>
  <c r="CV136" i="136"/>
  <c r="CW136" i="136"/>
  <c r="CX136" i="136"/>
  <c r="CU137" i="136"/>
  <c r="CV137" i="136"/>
  <c r="CW137" i="136"/>
  <c r="CX137" i="136"/>
  <c r="CU138" i="136"/>
  <c r="CV138" i="136"/>
  <c r="CW138" i="136"/>
  <c r="CX138" i="136"/>
  <c r="CU139" i="136"/>
  <c r="CV139" i="136"/>
  <c r="CW139" i="136"/>
  <c r="CX139" i="136"/>
  <c r="CU140" i="136"/>
  <c r="CV140" i="136"/>
  <c r="CW140" i="136"/>
  <c r="CX140" i="136"/>
  <c r="CU141" i="136"/>
  <c r="CV141" i="136"/>
  <c r="CW141" i="136"/>
  <c r="CX141" i="136"/>
  <c r="CU142" i="136"/>
  <c r="CV142" i="136"/>
  <c r="CW142" i="136"/>
  <c r="CX142" i="136"/>
  <c r="CU143" i="136"/>
  <c r="CV143" i="136"/>
  <c r="CW143" i="136"/>
  <c r="CX143" i="136"/>
  <c r="CU144" i="136"/>
  <c r="CV144" i="136"/>
  <c r="CW144" i="136"/>
  <c r="CX144" i="136"/>
  <c r="CU145" i="136"/>
  <c r="CV145" i="136"/>
  <c r="CW145" i="136"/>
  <c r="CX145" i="136"/>
  <c r="CU146" i="136"/>
  <c r="CV146" i="136"/>
  <c r="CW146" i="136"/>
  <c r="CX146" i="136"/>
  <c r="CU147" i="136"/>
  <c r="CV147" i="136"/>
  <c r="CW147" i="136"/>
  <c r="CX147" i="136"/>
  <c r="CU148" i="136"/>
  <c r="CV148" i="136"/>
  <c r="CW148" i="136"/>
  <c r="CX148" i="136"/>
  <c r="CU149" i="136"/>
  <c r="CV149" i="136"/>
  <c r="CW149" i="136"/>
  <c r="CX149" i="136"/>
  <c r="CU150" i="136"/>
  <c r="CV150" i="136"/>
  <c r="CW150" i="136"/>
  <c r="CX150" i="136"/>
  <c r="CU151" i="136"/>
  <c r="CV151" i="136"/>
  <c r="CW151" i="136"/>
  <c r="CX151" i="136"/>
  <c r="CU152" i="136"/>
  <c r="CV152" i="136"/>
  <c r="CW152" i="136"/>
  <c r="CX152" i="136"/>
  <c r="CU153" i="136"/>
  <c r="CV153" i="136"/>
  <c r="CW153" i="136"/>
  <c r="CX153" i="136"/>
  <c r="CU154" i="136"/>
  <c r="CV154" i="136"/>
  <c r="CW154" i="136"/>
  <c r="CX154" i="136"/>
  <c r="CU155" i="136"/>
  <c r="CV155" i="136"/>
  <c r="CW155" i="136"/>
  <c r="CX155" i="136"/>
  <c r="CU156" i="136"/>
  <c r="CV156" i="136"/>
  <c r="CW156" i="136"/>
  <c r="CX156" i="136"/>
  <c r="CU158" i="136"/>
  <c r="CV158" i="136"/>
  <c r="CW158" i="136"/>
  <c r="CX158" i="136"/>
  <c r="CU161" i="136"/>
  <c r="CV161" i="136"/>
  <c r="CW161" i="136"/>
  <c r="CX161" i="136"/>
  <c r="CX3" i="136"/>
  <c r="CW3" i="136"/>
  <c r="CV3" i="136"/>
  <c r="CM3" i="136"/>
  <c r="AB10" i="4" s="1"/>
  <c r="CM4" i="136"/>
  <c r="AB11" i="4" s="1"/>
  <c r="CM5" i="136"/>
  <c r="AB12" i="4" s="1"/>
  <c r="CM6" i="136"/>
  <c r="AB13" i="4" s="1"/>
  <c r="CM7" i="136"/>
  <c r="AB14" i="4" s="1"/>
  <c r="CM8" i="136"/>
  <c r="AB15" i="4" s="1"/>
  <c r="CM9" i="136"/>
  <c r="AB17" i="4" s="1"/>
  <c r="CM10" i="136"/>
  <c r="AB18" i="4" s="1"/>
  <c r="CM11" i="136"/>
  <c r="AB19" i="4" s="1"/>
  <c r="CM12" i="136"/>
  <c r="AB20" i="4" s="1"/>
  <c r="CM13" i="136"/>
  <c r="AB21" i="4" s="1"/>
  <c r="CM14" i="136"/>
  <c r="AB22" i="4" s="1"/>
  <c r="CM15" i="136"/>
  <c r="AB23" i="4" s="1"/>
  <c r="CM16" i="136"/>
  <c r="AB26" i="4" s="1"/>
  <c r="CM17" i="136"/>
  <c r="AB27" i="4" s="1"/>
  <c r="CM18" i="136"/>
  <c r="AB28" i="4" s="1"/>
  <c r="CM19" i="136"/>
  <c r="AB29" i="4" s="1"/>
  <c r="CM20" i="136"/>
  <c r="AB30" i="4" s="1"/>
  <c r="CM21" i="136"/>
  <c r="AB31" i="4" s="1"/>
  <c r="CM22" i="136"/>
  <c r="AB33" i="4" s="1"/>
  <c r="CM23" i="136"/>
  <c r="AB34" i="4" s="1"/>
  <c r="CM24" i="136"/>
  <c r="AB36" i="4" s="1"/>
  <c r="CM25" i="136"/>
  <c r="AB38" i="4" s="1"/>
  <c r="CM26" i="136"/>
  <c r="AB40" i="4" s="1"/>
  <c r="CM27" i="136"/>
  <c r="AB42" i="4" s="1"/>
  <c r="CM28" i="136"/>
  <c r="AB43" i="4" s="1"/>
  <c r="CM29" i="136"/>
  <c r="AB44" i="4" s="1"/>
  <c r="CM30" i="136"/>
  <c r="AB45" i="4" s="1"/>
  <c r="CM31" i="136"/>
  <c r="AB46" i="4" s="1"/>
  <c r="CM32" i="136"/>
  <c r="AB47" i="4" s="1"/>
  <c r="CM33" i="136"/>
  <c r="AB49" i="4" s="1"/>
  <c r="CM34" i="136"/>
  <c r="AB50" i="4" s="1"/>
  <c r="CM35" i="136"/>
  <c r="AB51" i="4" s="1"/>
  <c r="CM36" i="136"/>
  <c r="AB52" i="4" s="1"/>
  <c r="CM37" i="136"/>
  <c r="AB53" i="4" s="1"/>
  <c r="CM38" i="136"/>
  <c r="AB54" i="4" s="1"/>
  <c r="CM39" i="136"/>
  <c r="AB57" i="4" s="1"/>
  <c r="CM40" i="136"/>
  <c r="AB58" i="4" s="1"/>
  <c r="CM41" i="136"/>
  <c r="AB59" i="4" s="1"/>
  <c r="CM42" i="136"/>
  <c r="AB60" i="4" s="1"/>
  <c r="CM43" i="136"/>
  <c r="AB61" i="4" s="1"/>
  <c r="CM44" i="136"/>
  <c r="AB62" i="4" s="1"/>
  <c r="CM45" i="136"/>
  <c r="AB64" i="4" s="1"/>
  <c r="CM46" i="136"/>
  <c r="AB65" i="4" s="1"/>
  <c r="CM47" i="136"/>
  <c r="AB66" i="4" s="1"/>
  <c r="CM48" i="136"/>
  <c r="AB67" i="4" s="1"/>
  <c r="CM49" i="136"/>
  <c r="AB69" i="4" s="1"/>
  <c r="CM50" i="136"/>
  <c r="AB71" i="4" s="1"/>
  <c r="CM51" i="136"/>
  <c r="AB73" i="4" s="1"/>
  <c r="CM52" i="136"/>
  <c r="AB74" i="4" s="1"/>
  <c r="CM53" i="136"/>
  <c r="AB75" i="4" s="1"/>
  <c r="CM54" i="136"/>
  <c r="AB76" i="4" s="1"/>
  <c r="CM55" i="136"/>
  <c r="AB77" i="4" s="1"/>
  <c r="CM56" i="136"/>
  <c r="AB80" i="4" s="1"/>
  <c r="CM57" i="136"/>
  <c r="AB83" i="4" s="1"/>
  <c r="CM58" i="136"/>
  <c r="AB85" i="4" s="1"/>
  <c r="CM59" i="136"/>
  <c r="AB86" i="4" s="1"/>
  <c r="CM60" i="136"/>
  <c r="AB89" i="4" s="1"/>
  <c r="CM61" i="136"/>
  <c r="AB90" i="4" s="1"/>
  <c r="CM62" i="136"/>
  <c r="AB95" i="4" s="1"/>
  <c r="CM63" i="136"/>
  <c r="AB97" i="4" s="1"/>
  <c r="CM64" i="136"/>
  <c r="AB100" i="4" s="1"/>
  <c r="CM65" i="136"/>
  <c r="AB103" i="4" s="1"/>
  <c r="CM66" i="136"/>
  <c r="AB104" i="4" s="1"/>
  <c r="CM67" i="136"/>
  <c r="AB105" i="4" s="1"/>
  <c r="CM68" i="136"/>
  <c r="AB106" i="4" s="1"/>
  <c r="CM69" i="136"/>
  <c r="AB107" i="4" s="1"/>
  <c r="CM70" i="136"/>
  <c r="AB110" i="4" s="1"/>
  <c r="CM71" i="136"/>
  <c r="AB111" i="4" s="1"/>
  <c r="CM72" i="136"/>
  <c r="AB112" i="4" s="1"/>
  <c r="CM73" i="136"/>
  <c r="AB113" i="4" s="1"/>
  <c r="CM74" i="136"/>
  <c r="AB114" i="4" s="1"/>
  <c r="CM75" i="136"/>
  <c r="AB120" i="4" s="1"/>
  <c r="CM76" i="136"/>
  <c r="AB121" i="4" s="1"/>
  <c r="CM77" i="136"/>
  <c r="AB122" i="4" s="1"/>
  <c r="CM78" i="136"/>
  <c r="AB123" i="4" s="1"/>
  <c r="CM79" i="136"/>
  <c r="AB124" i="4" s="1"/>
  <c r="CM80" i="136"/>
  <c r="AB125" i="4" s="1"/>
  <c r="CM81" i="136"/>
  <c r="AB127" i="4" s="1"/>
  <c r="CM82" i="136"/>
  <c r="AB128" i="4" s="1"/>
  <c r="CM83" i="136"/>
  <c r="AB130" i="4" s="1"/>
  <c r="CM84" i="136"/>
  <c r="AB131" i="4" s="1"/>
  <c r="CM85" i="136"/>
  <c r="AB132" i="4" s="1"/>
  <c r="CM86" i="136"/>
  <c r="AB133" i="4" s="1"/>
  <c r="CM87" i="136"/>
  <c r="AB134" i="4" s="1"/>
  <c r="CM88" i="136"/>
  <c r="AB135" i="4" s="1"/>
  <c r="CM89" i="136"/>
  <c r="AB136" i="4" s="1"/>
  <c r="CM90" i="136"/>
  <c r="AB137" i="4" s="1"/>
  <c r="CM91" i="136"/>
  <c r="AB138" i="4" s="1"/>
  <c r="CM92" i="136"/>
  <c r="AB139" i="4" s="1"/>
  <c r="CM93" i="136"/>
  <c r="AB140" i="4" s="1"/>
  <c r="CM94" i="136"/>
  <c r="AB142" i="4" s="1"/>
  <c r="CM95" i="136"/>
  <c r="AB143" i="4" s="1"/>
  <c r="CM96" i="136"/>
  <c r="AB144" i="4" s="1"/>
  <c r="CM97" i="136"/>
  <c r="AB145" i="4" s="1"/>
  <c r="CM98" i="136"/>
  <c r="AB148" i="4" s="1"/>
  <c r="CM99" i="136"/>
  <c r="AB149" i="4" s="1"/>
  <c r="CM100" i="136"/>
  <c r="AB151" i="4" s="1"/>
  <c r="CM101" i="136"/>
  <c r="AB153" i="4" s="1"/>
  <c r="CM102" i="136"/>
  <c r="AB162" i="4" s="1"/>
  <c r="CM103" i="136"/>
  <c r="AB169" i="4" s="1"/>
  <c r="CM104" i="136"/>
  <c r="AB172" i="4" s="1"/>
  <c r="CM105" i="136"/>
  <c r="AB174" i="4" s="1"/>
  <c r="CM106" i="136"/>
  <c r="AB176" i="4" s="1"/>
  <c r="CM107" i="136"/>
  <c r="AB182" i="4" s="1"/>
  <c r="CM108" i="136"/>
  <c r="AB183" i="4" s="1"/>
  <c r="CM109" i="136"/>
  <c r="AB184" i="4" s="1"/>
  <c r="CM110" i="136"/>
  <c r="AB189" i="4" s="1"/>
  <c r="CM111" i="136"/>
  <c r="AB191" i="4" s="1"/>
  <c r="CM112" i="136"/>
  <c r="AB194" i="4" s="1"/>
  <c r="CM113" i="136"/>
  <c r="AB195" i="4" s="1"/>
  <c r="CM114" i="136"/>
  <c r="AB197" i="4" s="1"/>
  <c r="CM115" i="136"/>
  <c r="AB198" i="4" s="1"/>
  <c r="CM116" i="136"/>
  <c r="AB203" i="4" s="1"/>
  <c r="CM117" i="136"/>
  <c r="AB205" i="4" s="1"/>
  <c r="CM118" i="136"/>
  <c r="CM119" i="136"/>
  <c r="BX4" i="139"/>
  <c r="BY4" i="139"/>
  <c r="BZ4" i="139"/>
  <c r="BX5" i="139"/>
  <c r="BY5" i="139"/>
  <c r="BZ5" i="139"/>
  <c r="BX6" i="139"/>
  <c r="BY6" i="139"/>
  <c r="BZ6" i="139"/>
  <c r="BX7" i="139"/>
  <c r="BY7" i="139"/>
  <c r="BZ7" i="139"/>
  <c r="BX8" i="139"/>
  <c r="BY8" i="139"/>
  <c r="BZ8" i="139"/>
  <c r="BY3" i="139"/>
  <c r="BZ3" i="139"/>
  <c r="BX3" i="139"/>
  <c r="Z35" i="35"/>
  <c r="Z33" i="35"/>
  <c r="CU4" i="137"/>
  <c r="CV4" i="137"/>
  <c r="CW4" i="137"/>
  <c r="CU5" i="137"/>
  <c r="CV5" i="137"/>
  <c r="CW5" i="137"/>
  <c r="CU6" i="137"/>
  <c r="CV6" i="137"/>
  <c r="CW6" i="137"/>
  <c r="CU7" i="137"/>
  <c r="CV7" i="137"/>
  <c r="CW7" i="137"/>
  <c r="CU8" i="137"/>
  <c r="CV8" i="137"/>
  <c r="CW8" i="137"/>
  <c r="CU9" i="137"/>
  <c r="CV9" i="137"/>
  <c r="CW9" i="137"/>
  <c r="CU10" i="137"/>
  <c r="CV10" i="137"/>
  <c r="CW10" i="137"/>
  <c r="CU11" i="137"/>
  <c r="CV11" i="137"/>
  <c r="CW11" i="137"/>
  <c r="CU12" i="137"/>
  <c r="CV12" i="137"/>
  <c r="CW12" i="137"/>
  <c r="CU13" i="137"/>
  <c r="CV13" i="137"/>
  <c r="CW13" i="137"/>
  <c r="CU14" i="137"/>
  <c r="CV14" i="137"/>
  <c r="CW14" i="137"/>
  <c r="CU15" i="137"/>
  <c r="CV15" i="137"/>
  <c r="CW15" i="137"/>
  <c r="CU16" i="137"/>
  <c r="CV16" i="137"/>
  <c r="CW16" i="137"/>
  <c r="CU17" i="137"/>
  <c r="CV17" i="137"/>
  <c r="CW17" i="137"/>
  <c r="CU18" i="137"/>
  <c r="CV18" i="137"/>
  <c r="CW18" i="137"/>
  <c r="CU19" i="137"/>
  <c r="CV19" i="137"/>
  <c r="CW19" i="137"/>
  <c r="CU20" i="137"/>
  <c r="CV20" i="137"/>
  <c r="CW20" i="137"/>
  <c r="CU21" i="137"/>
  <c r="CV21" i="137"/>
  <c r="CW21" i="137"/>
  <c r="CU22" i="137"/>
  <c r="CV22" i="137"/>
  <c r="CW22" i="137"/>
  <c r="CU23" i="137"/>
  <c r="CV23" i="137"/>
  <c r="CW23" i="137"/>
  <c r="CU24" i="137"/>
  <c r="CV24" i="137"/>
  <c r="CW24" i="137"/>
  <c r="CU25" i="137"/>
  <c r="CV25" i="137"/>
  <c r="CW25" i="137"/>
  <c r="CU26" i="137"/>
  <c r="CV26" i="137"/>
  <c r="CW26" i="137"/>
  <c r="CU27" i="137"/>
  <c r="CV27" i="137"/>
  <c r="CW27" i="137"/>
  <c r="CU28" i="137"/>
  <c r="CV28" i="137"/>
  <c r="CW28" i="137"/>
  <c r="CU29" i="137"/>
  <c r="CV29" i="137"/>
  <c r="CW29" i="137"/>
  <c r="CU30" i="137"/>
  <c r="CV30" i="137"/>
  <c r="CW30" i="137"/>
  <c r="CU31" i="137"/>
  <c r="CV31" i="137"/>
  <c r="CW31" i="137"/>
  <c r="CU32" i="137"/>
  <c r="CV32" i="137"/>
  <c r="CW32" i="137"/>
  <c r="CU33" i="137"/>
  <c r="CV33" i="137"/>
  <c r="CW33" i="137"/>
  <c r="CU34" i="137"/>
  <c r="CV34" i="137"/>
  <c r="CW34" i="137"/>
  <c r="CU35" i="137"/>
  <c r="CV35" i="137"/>
  <c r="CW35" i="137"/>
  <c r="CU36" i="137"/>
  <c r="CV36" i="137"/>
  <c r="CW36" i="137"/>
  <c r="CU37" i="137"/>
  <c r="CV37" i="137"/>
  <c r="CW37" i="137"/>
  <c r="CU38" i="137"/>
  <c r="CV38" i="137"/>
  <c r="CW38" i="137"/>
  <c r="CU39" i="137"/>
  <c r="CV39" i="137"/>
  <c r="CW39" i="137"/>
  <c r="CU40" i="137"/>
  <c r="CV40" i="137"/>
  <c r="CW40" i="137"/>
  <c r="CU41" i="137"/>
  <c r="CV41" i="137"/>
  <c r="CW41" i="137"/>
  <c r="CU42" i="137"/>
  <c r="CV42" i="137"/>
  <c r="CW42" i="137"/>
  <c r="CU43" i="137"/>
  <c r="CV43" i="137"/>
  <c r="CW43" i="137"/>
  <c r="CU44" i="137"/>
  <c r="CV44" i="137"/>
  <c r="CW44" i="137"/>
  <c r="CU45" i="137"/>
  <c r="CV45" i="137"/>
  <c r="CW45" i="137"/>
  <c r="CU46" i="137"/>
  <c r="CV46" i="137"/>
  <c r="CW46" i="137"/>
  <c r="CU47" i="137"/>
  <c r="CV47" i="137"/>
  <c r="CW47" i="137"/>
  <c r="CU48" i="137"/>
  <c r="CV48" i="137"/>
  <c r="CW48" i="137"/>
  <c r="CU49" i="137"/>
  <c r="CV49" i="137"/>
  <c r="CW49" i="137"/>
  <c r="CU50" i="137"/>
  <c r="CV50" i="137"/>
  <c r="CW50" i="137"/>
  <c r="CU51" i="137"/>
  <c r="CV51" i="137"/>
  <c r="CW51" i="137"/>
  <c r="CU52" i="137"/>
  <c r="CV52" i="137"/>
  <c r="CW52" i="137"/>
  <c r="CV3" i="137"/>
  <c r="CW3" i="137"/>
  <c r="CU3" i="137"/>
  <c r="CL4" i="137"/>
  <c r="Z26" i="35" s="1"/>
  <c r="CL5" i="137"/>
  <c r="Z30" i="35" s="1"/>
  <c r="CL6" i="137"/>
  <c r="Z28" i="35" s="1"/>
  <c r="CL7" i="137"/>
  <c r="Z43" i="35" s="1"/>
  <c r="CL8" i="137"/>
  <c r="Z38" i="35" s="1"/>
  <c r="CL9" i="137"/>
  <c r="Z40" i="35" s="1"/>
  <c r="CL10" i="137"/>
  <c r="Z57" i="35" s="1"/>
  <c r="CL11" i="137"/>
  <c r="Z58" i="35" s="1"/>
  <c r="CL12" i="137"/>
  <c r="Z59" i="35" s="1"/>
  <c r="CL3" i="137"/>
  <c r="Z22" i="35" s="1"/>
  <c r="CP4" i="138"/>
  <c r="Z18" i="37" s="1"/>
  <c r="CP5" i="138"/>
  <c r="Z19" i="37" s="1"/>
  <c r="CP6" i="138"/>
  <c r="Z17" i="37" s="1"/>
  <c r="CP7" i="138"/>
  <c r="Z20" i="37" s="1"/>
  <c r="CP8" i="138"/>
  <c r="Z23" i="37" s="1"/>
  <c r="CP9" i="138"/>
  <c r="Z44" i="37" s="1"/>
  <c r="CP10" i="138"/>
  <c r="Z45" i="37" s="1"/>
  <c r="CP11" i="138"/>
  <c r="Z49" i="37" s="1"/>
  <c r="CP12" i="138"/>
  <c r="Z50" i="37" s="1"/>
  <c r="CP13" i="138"/>
  <c r="Z51" i="37" s="1"/>
  <c r="CP14" i="138"/>
  <c r="Z52" i="37" s="1"/>
  <c r="CP15" i="138"/>
  <c r="Z53" i="37" s="1"/>
  <c r="CP16" i="138"/>
  <c r="Z54" i="37" s="1"/>
  <c r="CP17" i="138"/>
  <c r="Z57" i="37" s="1"/>
  <c r="CP3" i="138"/>
  <c r="Z15" i="37" s="1"/>
  <c r="CY4" i="138"/>
  <c r="CZ4" i="138"/>
  <c r="DA4" i="138"/>
  <c r="CY5" i="138"/>
  <c r="CZ5" i="138"/>
  <c r="DA5" i="138"/>
  <c r="CY6" i="138"/>
  <c r="CZ6" i="138"/>
  <c r="DA6" i="138"/>
  <c r="CY7" i="138"/>
  <c r="CZ7" i="138"/>
  <c r="DA7" i="138"/>
  <c r="CY8" i="138"/>
  <c r="CZ8" i="138"/>
  <c r="DA8" i="138"/>
  <c r="CY9" i="138"/>
  <c r="CZ9" i="138"/>
  <c r="DA9" i="138"/>
  <c r="CY10" i="138"/>
  <c r="CZ10" i="138"/>
  <c r="DA10" i="138"/>
  <c r="CY11" i="138"/>
  <c r="CZ11" i="138"/>
  <c r="DA11" i="138"/>
  <c r="CY12" i="138"/>
  <c r="CZ12" i="138"/>
  <c r="DA12" i="138"/>
  <c r="CY13" i="138"/>
  <c r="CZ13" i="138"/>
  <c r="DA13" i="138"/>
  <c r="CY14" i="138"/>
  <c r="CZ14" i="138"/>
  <c r="DA14" i="138"/>
  <c r="CY15" i="138"/>
  <c r="CZ15" i="138"/>
  <c r="DA15" i="138"/>
  <c r="CY16" i="138"/>
  <c r="CZ16" i="138"/>
  <c r="DA16" i="138"/>
  <c r="CY17" i="138"/>
  <c r="CZ17" i="138"/>
  <c r="DA17" i="138"/>
  <c r="CY18" i="138"/>
  <c r="CZ18" i="138"/>
  <c r="DA18" i="138"/>
  <c r="CY19" i="138"/>
  <c r="CZ19" i="138"/>
  <c r="DA19" i="138"/>
  <c r="CY20" i="138"/>
  <c r="CZ20" i="138"/>
  <c r="DA20" i="138"/>
  <c r="CY21" i="138"/>
  <c r="CZ21" i="138"/>
  <c r="DA21" i="138"/>
  <c r="CY22" i="138"/>
  <c r="CZ22" i="138"/>
  <c r="DA22" i="138"/>
  <c r="CY23" i="138"/>
  <c r="CZ23" i="138"/>
  <c r="DA23" i="138"/>
  <c r="CY24" i="138"/>
  <c r="CZ24" i="138"/>
  <c r="DA24" i="138"/>
  <c r="CY25" i="138"/>
  <c r="CZ25" i="138"/>
  <c r="DA25" i="138"/>
  <c r="CY26" i="138"/>
  <c r="CZ26" i="138"/>
  <c r="DA26" i="138"/>
  <c r="CY27" i="138"/>
  <c r="CZ27" i="138"/>
  <c r="DA27" i="138"/>
  <c r="CY28" i="138"/>
  <c r="CZ28" i="138"/>
  <c r="DA28" i="138"/>
  <c r="CY29" i="138"/>
  <c r="CZ29" i="138"/>
  <c r="DA29" i="138"/>
  <c r="CY30" i="138"/>
  <c r="CZ30" i="138"/>
  <c r="DA30" i="138"/>
  <c r="CY31" i="138"/>
  <c r="CZ31" i="138"/>
  <c r="DA31" i="138"/>
  <c r="CY32" i="138"/>
  <c r="CZ32" i="138"/>
  <c r="DA32" i="138"/>
  <c r="CY33" i="138"/>
  <c r="CZ33" i="138"/>
  <c r="DA33" i="138"/>
  <c r="CY34" i="138"/>
  <c r="CZ34" i="138"/>
  <c r="DA34" i="138"/>
  <c r="CY35" i="138"/>
  <c r="CZ35" i="138"/>
  <c r="DA35" i="138"/>
  <c r="CY36" i="138"/>
  <c r="CZ36" i="138"/>
  <c r="DA36" i="138"/>
  <c r="CY37" i="138"/>
  <c r="CZ37" i="138"/>
  <c r="DA37" i="138"/>
  <c r="CY38" i="138"/>
  <c r="CZ38" i="138"/>
  <c r="DA38" i="138"/>
  <c r="CY39" i="138"/>
  <c r="CZ39" i="138"/>
  <c r="DA39" i="138"/>
  <c r="CY40" i="138"/>
  <c r="CZ40" i="138"/>
  <c r="DA40" i="138"/>
  <c r="CY41" i="138"/>
  <c r="CZ41" i="138"/>
  <c r="DA41" i="138"/>
  <c r="CY42" i="138"/>
  <c r="CZ42" i="138"/>
  <c r="DA42" i="138"/>
  <c r="CY43" i="138"/>
  <c r="CZ43" i="138"/>
  <c r="DA43" i="138"/>
  <c r="CY44" i="138"/>
  <c r="CZ44" i="138"/>
  <c r="DA44" i="138"/>
  <c r="CY45" i="138"/>
  <c r="CZ45" i="138"/>
  <c r="DA45" i="138"/>
  <c r="CY46" i="138"/>
  <c r="CZ46" i="138"/>
  <c r="DA46" i="138"/>
  <c r="CY47" i="138"/>
  <c r="CZ47" i="138"/>
  <c r="DA47" i="138"/>
  <c r="CY48" i="138"/>
  <c r="CZ48" i="138"/>
  <c r="DA48" i="138"/>
  <c r="CY49" i="138"/>
  <c r="CZ49" i="138"/>
  <c r="DA49" i="138"/>
  <c r="CY50" i="138"/>
  <c r="CZ50" i="138"/>
  <c r="DA50" i="138"/>
  <c r="CY51" i="138"/>
  <c r="CZ51" i="138"/>
  <c r="DA51" i="138"/>
  <c r="CY52" i="138"/>
  <c r="CZ52" i="138"/>
  <c r="DA52" i="138"/>
  <c r="CY53" i="138"/>
  <c r="CZ53" i="138"/>
  <c r="DA53" i="138"/>
  <c r="CZ3" i="138"/>
  <c r="DA3" i="138"/>
  <c r="CY3" i="138"/>
  <c r="BW3" i="138"/>
  <c r="Y15" i="37" s="1"/>
  <c r="CE144" i="136"/>
  <c r="CE143" i="136"/>
  <c r="CE4" i="136"/>
  <c r="CF4" i="136"/>
  <c r="CG4" i="136"/>
  <c r="CH4" i="136"/>
  <c r="CE5" i="136"/>
  <c r="CF5" i="136"/>
  <c r="CG5" i="136"/>
  <c r="CH5" i="136"/>
  <c r="CE6" i="136"/>
  <c r="CF6" i="136"/>
  <c r="CG6" i="136"/>
  <c r="CH6" i="136"/>
  <c r="CE7" i="136"/>
  <c r="CF7" i="136"/>
  <c r="CG7" i="136"/>
  <c r="CH7" i="136"/>
  <c r="CE8" i="136"/>
  <c r="CF8" i="136"/>
  <c r="CG8" i="136"/>
  <c r="CH8" i="136"/>
  <c r="CE9" i="136"/>
  <c r="CF9" i="136"/>
  <c r="CG9" i="136"/>
  <c r="CH9" i="136"/>
  <c r="CE10" i="136"/>
  <c r="CF10" i="136"/>
  <c r="CG10" i="136"/>
  <c r="CH10" i="136"/>
  <c r="CE11" i="136"/>
  <c r="CF11" i="136"/>
  <c r="CG11" i="136"/>
  <c r="CH11" i="136"/>
  <c r="CE12" i="136"/>
  <c r="CF12" i="136"/>
  <c r="CG12" i="136"/>
  <c r="CH12" i="136"/>
  <c r="CE13" i="136"/>
  <c r="CF13" i="136"/>
  <c r="CG13" i="136"/>
  <c r="CH13" i="136"/>
  <c r="CE14" i="136"/>
  <c r="CF14" i="136"/>
  <c r="CG14" i="136"/>
  <c r="CH14" i="136"/>
  <c r="CE15" i="136"/>
  <c r="CF15" i="136"/>
  <c r="CG15" i="136"/>
  <c r="CH15" i="136"/>
  <c r="CE16" i="136"/>
  <c r="CF16" i="136"/>
  <c r="CG16" i="136"/>
  <c r="CH16" i="136"/>
  <c r="CE17" i="136"/>
  <c r="CF17" i="136"/>
  <c r="CG17" i="136"/>
  <c r="CH17" i="136"/>
  <c r="CE18" i="136"/>
  <c r="CF18" i="136"/>
  <c r="CG18" i="136"/>
  <c r="CH18" i="136"/>
  <c r="CE19" i="136"/>
  <c r="CF19" i="136"/>
  <c r="CG19" i="136"/>
  <c r="CH19" i="136"/>
  <c r="CE20" i="136"/>
  <c r="CF20" i="136"/>
  <c r="CG20" i="136"/>
  <c r="CH20" i="136"/>
  <c r="CE21" i="136"/>
  <c r="CF21" i="136"/>
  <c r="CG21" i="136"/>
  <c r="CH21" i="136"/>
  <c r="CE22" i="136"/>
  <c r="CF22" i="136"/>
  <c r="CG22" i="136"/>
  <c r="CH22" i="136"/>
  <c r="CE23" i="136"/>
  <c r="CF23" i="136"/>
  <c r="CG23" i="136"/>
  <c r="CH23" i="136"/>
  <c r="CE24" i="136"/>
  <c r="CF24" i="136"/>
  <c r="CG24" i="136"/>
  <c r="CH24" i="136"/>
  <c r="CE25" i="136"/>
  <c r="CF25" i="136"/>
  <c r="CG25" i="136"/>
  <c r="CH25" i="136"/>
  <c r="CE26" i="136"/>
  <c r="CF26" i="136"/>
  <c r="CG26" i="136"/>
  <c r="CH26" i="136"/>
  <c r="CE27" i="136"/>
  <c r="CF27" i="136"/>
  <c r="CG27" i="136"/>
  <c r="CH27" i="136"/>
  <c r="CE28" i="136"/>
  <c r="CF28" i="136"/>
  <c r="CG28" i="136"/>
  <c r="CH28" i="136"/>
  <c r="CE29" i="136"/>
  <c r="CF29" i="136"/>
  <c r="CG29" i="136"/>
  <c r="CH29" i="136"/>
  <c r="CE30" i="136"/>
  <c r="CF30" i="136"/>
  <c r="CG30" i="136"/>
  <c r="CH30" i="136"/>
  <c r="CE31" i="136"/>
  <c r="CF31" i="136"/>
  <c r="CG31" i="136"/>
  <c r="CH31" i="136"/>
  <c r="CE32" i="136"/>
  <c r="CF32" i="136"/>
  <c r="CG32" i="136"/>
  <c r="CH32" i="136"/>
  <c r="CE33" i="136"/>
  <c r="CF33" i="136"/>
  <c r="CG33" i="136"/>
  <c r="CH33" i="136"/>
  <c r="CE34" i="136"/>
  <c r="CF34" i="136"/>
  <c r="CG34" i="136"/>
  <c r="CH34" i="136"/>
  <c r="CE35" i="136"/>
  <c r="CF35" i="136"/>
  <c r="CG35" i="136"/>
  <c r="CH35" i="136"/>
  <c r="CE36" i="136"/>
  <c r="CF36" i="136"/>
  <c r="CG36" i="136"/>
  <c r="CH36" i="136"/>
  <c r="CE37" i="136"/>
  <c r="CF37" i="136"/>
  <c r="CG37" i="136"/>
  <c r="CH37" i="136"/>
  <c r="CE38" i="136"/>
  <c r="CF38" i="136"/>
  <c r="CG38" i="136"/>
  <c r="CH38" i="136"/>
  <c r="CE39" i="136"/>
  <c r="CF39" i="136"/>
  <c r="CG39" i="136"/>
  <c r="CH39" i="136"/>
  <c r="CE40" i="136"/>
  <c r="CF40" i="136"/>
  <c r="CG40" i="136"/>
  <c r="CH40" i="136"/>
  <c r="CE41" i="136"/>
  <c r="CF41" i="136"/>
  <c r="CG41" i="136"/>
  <c r="CH41" i="136"/>
  <c r="CE42" i="136"/>
  <c r="CF42" i="136"/>
  <c r="CG42" i="136"/>
  <c r="CH42" i="136"/>
  <c r="CE43" i="136"/>
  <c r="CF43" i="136"/>
  <c r="CG43" i="136"/>
  <c r="CH43" i="136"/>
  <c r="CE44" i="136"/>
  <c r="CF44" i="136"/>
  <c r="CG44" i="136"/>
  <c r="CH44" i="136"/>
  <c r="CE45" i="136"/>
  <c r="CF45" i="136"/>
  <c r="CG45" i="136"/>
  <c r="CH45" i="136"/>
  <c r="CE46" i="136"/>
  <c r="CF46" i="136"/>
  <c r="CG46" i="136"/>
  <c r="CH46" i="136"/>
  <c r="CE47" i="136"/>
  <c r="CF47" i="136"/>
  <c r="CG47" i="136"/>
  <c r="CH47" i="136"/>
  <c r="CE48" i="136"/>
  <c r="CF48" i="136"/>
  <c r="CG48" i="136"/>
  <c r="CH48" i="136"/>
  <c r="CE49" i="136"/>
  <c r="CF49" i="136"/>
  <c r="CG49" i="136"/>
  <c r="CH49" i="136"/>
  <c r="CE50" i="136"/>
  <c r="CF50" i="136"/>
  <c r="CG50" i="136"/>
  <c r="CH50" i="136"/>
  <c r="CE51" i="136"/>
  <c r="CF51" i="136"/>
  <c r="CG51" i="136"/>
  <c r="CH51" i="136"/>
  <c r="CE52" i="136"/>
  <c r="CF52" i="136"/>
  <c r="CG52" i="136"/>
  <c r="CH52" i="136"/>
  <c r="CE53" i="136"/>
  <c r="CF53" i="136"/>
  <c r="CG53" i="136"/>
  <c r="CH53" i="136"/>
  <c r="CE54" i="136"/>
  <c r="CF54" i="136"/>
  <c r="CG54" i="136"/>
  <c r="CH54" i="136"/>
  <c r="CE55" i="136"/>
  <c r="CF55" i="136"/>
  <c r="CG55" i="136"/>
  <c r="CH55" i="136"/>
  <c r="CE56" i="136"/>
  <c r="CF56" i="136"/>
  <c r="CG56" i="136"/>
  <c r="CH56" i="136"/>
  <c r="CE57" i="136"/>
  <c r="CF57" i="136"/>
  <c r="CG57" i="136"/>
  <c r="CH57" i="136"/>
  <c r="CE58" i="136"/>
  <c r="CF58" i="136"/>
  <c r="CG58" i="136"/>
  <c r="CH58" i="136"/>
  <c r="CE59" i="136"/>
  <c r="CF59" i="136"/>
  <c r="CG59" i="136"/>
  <c r="CH59" i="136"/>
  <c r="CE60" i="136"/>
  <c r="CF60" i="136"/>
  <c r="CG60" i="136"/>
  <c r="CH60" i="136"/>
  <c r="CE61" i="136"/>
  <c r="CF61" i="136"/>
  <c r="CG61" i="136"/>
  <c r="CH61" i="136"/>
  <c r="CE62" i="136"/>
  <c r="CF62" i="136"/>
  <c r="CG62" i="136"/>
  <c r="CH62" i="136"/>
  <c r="CE63" i="136"/>
  <c r="CF63" i="136"/>
  <c r="CG63" i="136"/>
  <c r="CH63" i="136"/>
  <c r="CE64" i="136"/>
  <c r="CF64" i="136"/>
  <c r="CG64" i="136"/>
  <c r="CH64" i="136"/>
  <c r="CE65" i="136"/>
  <c r="CF65" i="136"/>
  <c r="CG65" i="136"/>
  <c r="CH65" i="136"/>
  <c r="CE66" i="136"/>
  <c r="CF66" i="136"/>
  <c r="CG66" i="136"/>
  <c r="CH66" i="136"/>
  <c r="CE67" i="136"/>
  <c r="CF67" i="136"/>
  <c r="CG67" i="136"/>
  <c r="CH67" i="136"/>
  <c r="CE68" i="136"/>
  <c r="CF68" i="136"/>
  <c r="CG68" i="136"/>
  <c r="CH68" i="136"/>
  <c r="CE69" i="136"/>
  <c r="CF69" i="136"/>
  <c r="CG69" i="136"/>
  <c r="CH69" i="136"/>
  <c r="CE70" i="136"/>
  <c r="CF70" i="136"/>
  <c r="CG70" i="136"/>
  <c r="CH70" i="136"/>
  <c r="CE71" i="136"/>
  <c r="CF71" i="136"/>
  <c r="CG71" i="136"/>
  <c r="CH71" i="136"/>
  <c r="CE72" i="136"/>
  <c r="CF72" i="136"/>
  <c r="CG72" i="136"/>
  <c r="CH72" i="136"/>
  <c r="CE73" i="136"/>
  <c r="CF73" i="136"/>
  <c r="CG73" i="136"/>
  <c r="CH73" i="136"/>
  <c r="CE74" i="136"/>
  <c r="CF74" i="136"/>
  <c r="CG74" i="136"/>
  <c r="CH74" i="136"/>
  <c r="CE75" i="136"/>
  <c r="CF75" i="136"/>
  <c r="CG75" i="136"/>
  <c r="CH75" i="136"/>
  <c r="CE76" i="136"/>
  <c r="CF76" i="136"/>
  <c r="CG76" i="136"/>
  <c r="CH76" i="136"/>
  <c r="CE77" i="136"/>
  <c r="CF77" i="136"/>
  <c r="CG77" i="136"/>
  <c r="CH77" i="136"/>
  <c r="CE78" i="136"/>
  <c r="CF78" i="136"/>
  <c r="CG78" i="136"/>
  <c r="CH78" i="136"/>
  <c r="CE79" i="136"/>
  <c r="CF79" i="136"/>
  <c r="CG79" i="136"/>
  <c r="CH79" i="136"/>
  <c r="CE80" i="136"/>
  <c r="CF80" i="136"/>
  <c r="CG80" i="136"/>
  <c r="CH80" i="136"/>
  <c r="CE81" i="136"/>
  <c r="CF81" i="136"/>
  <c r="CG81" i="136"/>
  <c r="CH81" i="136"/>
  <c r="CE82" i="136"/>
  <c r="CF82" i="136"/>
  <c r="CG82" i="136"/>
  <c r="CH82" i="136"/>
  <c r="CE83" i="136"/>
  <c r="CF83" i="136"/>
  <c r="CG83" i="136"/>
  <c r="CH83" i="136"/>
  <c r="CE84" i="136"/>
  <c r="CF84" i="136"/>
  <c r="CG84" i="136"/>
  <c r="CH84" i="136"/>
  <c r="CE85" i="136"/>
  <c r="CF85" i="136"/>
  <c r="CG85" i="136"/>
  <c r="CH85" i="136"/>
  <c r="CE86" i="136"/>
  <c r="CF86" i="136"/>
  <c r="CG86" i="136"/>
  <c r="CH86" i="136"/>
  <c r="CE87" i="136"/>
  <c r="CF87" i="136"/>
  <c r="CG87" i="136"/>
  <c r="CH87" i="136"/>
  <c r="CE88" i="136"/>
  <c r="CF88" i="136"/>
  <c r="CG88" i="136"/>
  <c r="CH88" i="136"/>
  <c r="CE89" i="136"/>
  <c r="CF89" i="136"/>
  <c r="CG89" i="136"/>
  <c r="CH89" i="136"/>
  <c r="CE90" i="136"/>
  <c r="CF90" i="136"/>
  <c r="CG90" i="136"/>
  <c r="CH90" i="136"/>
  <c r="CE91" i="136"/>
  <c r="CF91" i="136"/>
  <c r="CG91" i="136"/>
  <c r="CH91" i="136"/>
  <c r="CE92" i="136"/>
  <c r="CF92" i="136"/>
  <c r="CG92" i="136"/>
  <c r="CH92" i="136"/>
  <c r="CE93" i="136"/>
  <c r="CF93" i="136"/>
  <c r="CG93" i="136"/>
  <c r="CH93" i="136"/>
  <c r="CE94" i="136"/>
  <c r="CF94" i="136"/>
  <c r="CG94" i="136"/>
  <c r="CH94" i="136"/>
  <c r="CE95" i="136"/>
  <c r="CF95" i="136"/>
  <c r="CG95" i="136"/>
  <c r="CH95" i="136"/>
  <c r="CE96" i="136"/>
  <c r="CF96" i="136"/>
  <c r="CG96" i="136"/>
  <c r="CH96" i="136"/>
  <c r="CE97" i="136"/>
  <c r="CF97" i="136"/>
  <c r="CG97" i="136"/>
  <c r="CH97" i="136"/>
  <c r="CE98" i="136"/>
  <c r="CF98" i="136"/>
  <c r="CG98" i="136"/>
  <c r="CH98" i="136"/>
  <c r="CE99" i="136"/>
  <c r="CF99" i="136"/>
  <c r="CG99" i="136"/>
  <c r="CH99" i="136"/>
  <c r="CE100" i="136"/>
  <c r="CF100" i="136"/>
  <c r="CG100" i="136"/>
  <c r="CH100" i="136"/>
  <c r="CE101" i="136"/>
  <c r="CF101" i="136"/>
  <c r="CG101" i="136"/>
  <c r="CH101" i="136"/>
  <c r="CE102" i="136"/>
  <c r="CF102" i="136"/>
  <c r="CG102" i="136"/>
  <c r="CH102" i="136"/>
  <c r="CE103" i="136"/>
  <c r="CF103" i="136"/>
  <c r="CG103" i="136"/>
  <c r="CH103" i="136"/>
  <c r="CE104" i="136"/>
  <c r="CF104" i="136"/>
  <c r="CG104" i="136"/>
  <c r="CH104" i="136"/>
  <c r="CE105" i="136"/>
  <c r="CF105" i="136"/>
  <c r="CG105" i="136"/>
  <c r="CH105" i="136"/>
  <c r="CE106" i="136"/>
  <c r="CF106" i="136"/>
  <c r="CG106" i="136"/>
  <c r="CH106" i="136"/>
  <c r="CE107" i="136"/>
  <c r="CF107" i="136"/>
  <c r="CG107" i="136"/>
  <c r="CH107" i="136"/>
  <c r="CE108" i="136"/>
  <c r="CF108" i="136"/>
  <c r="CG108" i="136"/>
  <c r="CH108" i="136"/>
  <c r="CE109" i="136"/>
  <c r="CF109" i="136"/>
  <c r="CG109" i="136"/>
  <c r="CH109" i="136"/>
  <c r="CE110" i="136"/>
  <c r="CF110" i="136"/>
  <c r="CG110" i="136"/>
  <c r="CH110" i="136"/>
  <c r="CE111" i="136"/>
  <c r="CF111" i="136"/>
  <c r="CG111" i="136"/>
  <c r="CH111" i="136"/>
  <c r="CE112" i="136"/>
  <c r="CF112" i="136"/>
  <c r="CG112" i="136"/>
  <c r="CH112" i="136"/>
  <c r="CE113" i="136"/>
  <c r="CF113" i="136"/>
  <c r="CG113" i="136"/>
  <c r="CH113" i="136"/>
  <c r="CE114" i="136"/>
  <c r="CF114" i="136"/>
  <c r="CG114" i="136"/>
  <c r="CH114" i="136"/>
  <c r="CE115" i="136"/>
  <c r="CF115" i="136"/>
  <c r="CG115" i="136"/>
  <c r="CH115" i="136"/>
  <c r="CE116" i="136"/>
  <c r="CF116" i="136"/>
  <c r="CG116" i="136"/>
  <c r="CH116" i="136"/>
  <c r="CE117" i="136"/>
  <c r="CF117" i="136"/>
  <c r="CG117" i="136"/>
  <c r="CH117" i="136"/>
  <c r="CE118" i="136"/>
  <c r="CF118" i="136"/>
  <c r="CG118" i="136"/>
  <c r="CH118" i="136"/>
  <c r="CE119" i="136"/>
  <c r="CF119" i="136"/>
  <c r="CG119" i="136"/>
  <c r="CH119" i="136"/>
  <c r="CE120" i="136"/>
  <c r="CF120" i="136"/>
  <c r="CG120" i="136"/>
  <c r="CH120" i="136"/>
  <c r="CE121" i="136"/>
  <c r="CF121" i="136"/>
  <c r="CG121" i="136"/>
  <c r="CH121" i="136"/>
  <c r="CE122" i="136"/>
  <c r="CF122" i="136"/>
  <c r="CG122" i="136"/>
  <c r="CH122" i="136"/>
  <c r="CE123" i="136"/>
  <c r="CF123" i="136"/>
  <c r="CG123" i="136"/>
  <c r="CH123" i="136"/>
  <c r="CE124" i="136"/>
  <c r="CF124" i="136"/>
  <c r="CG124" i="136"/>
  <c r="CH124" i="136"/>
  <c r="CE125" i="136"/>
  <c r="CF125" i="136"/>
  <c r="CG125" i="136"/>
  <c r="CH125" i="136"/>
  <c r="CE126" i="136"/>
  <c r="CF126" i="136"/>
  <c r="CG126" i="136"/>
  <c r="CH126" i="136"/>
  <c r="CE127" i="136"/>
  <c r="CF127" i="136"/>
  <c r="CG127" i="136"/>
  <c r="CH127" i="136"/>
  <c r="CE128" i="136"/>
  <c r="CF128" i="136"/>
  <c r="CG128" i="136"/>
  <c r="CH128" i="136"/>
  <c r="CE129" i="136"/>
  <c r="CF129" i="136"/>
  <c r="CG129" i="136"/>
  <c r="CH129" i="136"/>
  <c r="CE130" i="136"/>
  <c r="CF130" i="136"/>
  <c r="CG130" i="136"/>
  <c r="CH130" i="136"/>
  <c r="CE131" i="136"/>
  <c r="CF131" i="136"/>
  <c r="CG131" i="136"/>
  <c r="CH131" i="136"/>
  <c r="CE132" i="136"/>
  <c r="CF132" i="136"/>
  <c r="CG132" i="136"/>
  <c r="CH132" i="136"/>
  <c r="CE133" i="136"/>
  <c r="CF133" i="136"/>
  <c r="CG133" i="136"/>
  <c r="CH133" i="136"/>
  <c r="CE134" i="136"/>
  <c r="CF134" i="136"/>
  <c r="CG134" i="136"/>
  <c r="CH134" i="136"/>
  <c r="CE135" i="136"/>
  <c r="CF135" i="136"/>
  <c r="CG135" i="136"/>
  <c r="CH135" i="136"/>
  <c r="CE136" i="136"/>
  <c r="CF136" i="136"/>
  <c r="CG136" i="136"/>
  <c r="CH136" i="136"/>
  <c r="CE137" i="136"/>
  <c r="CF137" i="136"/>
  <c r="CG137" i="136"/>
  <c r="CH137" i="136"/>
  <c r="CE138" i="136"/>
  <c r="CF138" i="136"/>
  <c r="CG138" i="136"/>
  <c r="CH138" i="136"/>
  <c r="CE139" i="136"/>
  <c r="CF139" i="136"/>
  <c r="CG139" i="136"/>
  <c r="CH139" i="136"/>
  <c r="CE140" i="136"/>
  <c r="CF140" i="136"/>
  <c r="CG140" i="136"/>
  <c r="CH140" i="136"/>
  <c r="CE141" i="136"/>
  <c r="CF141" i="136"/>
  <c r="CG141" i="136"/>
  <c r="CH141" i="136"/>
  <c r="CE142" i="136"/>
  <c r="CF142" i="136"/>
  <c r="CG142" i="136"/>
  <c r="CH142" i="136"/>
  <c r="CF143" i="136"/>
  <c r="CG143" i="136"/>
  <c r="CH143" i="136"/>
  <c r="CF144" i="136"/>
  <c r="CG144" i="136"/>
  <c r="CH144" i="136"/>
  <c r="CE145" i="136"/>
  <c r="CF145" i="136"/>
  <c r="CG145" i="136"/>
  <c r="CH145" i="136"/>
  <c r="CE146" i="136"/>
  <c r="CF146" i="136"/>
  <c r="CG146" i="136"/>
  <c r="CH146" i="136"/>
  <c r="CE147" i="136"/>
  <c r="CF147" i="136"/>
  <c r="CG147" i="136"/>
  <c r="CH147" i="136"/>
  <c r="CE148" i="136"/>
  <c r="CF148" i="136"/>
  <c r="CG148" i="136"/>
  <c r="CH148" i="136"/>
  <c r="CE149" i="136"/>
  <c r="CF149" i="136"/>
  <c r="CG149" i="136"/>
  <c r="CH149" i="136"/>
  <c r="CE150" i="136"/>
  <c r="CF150" i="136"/>
  <c r="CG150" i="136"/>
  <c r="CH150" i="136"/>
  <c r="CE151" i="136"/>
  <c r="CF151" i="136"/>
  <c r="CG151" i="136"/>
  <c r="CH151" i="136"/>
  <c r="CE152" i="136"/>
  <c r="CF152" i="136"/>
  <c r="CG152" i="136"/>
  <c r="CH152" i="136"/>
  <c r="CE153" i="136"/>
  <c r="CF153" i="136"/>
  <c r="CG153" i="136"/>
  <c r="CH153" i="136"/>
  <c r="CE154" i="136"/>
  <c r="CF154" i="136"/>
  <c r="CG154" i="136"/>
  <c r="CH154" i="136"/>
  <c r="CE155" i="136"/>
  <c r="CF155" i="136"/>
  <c r="CG155" i="136"/>
  <c r="CH155" i="136"/>
  <c r="CE156" i="136"/>
  <c r="CF156" i="136"/>
  <c r="CG156" i="136"/>
  <c r="CH156" i="136"/>
  <c r="CE157" i="136"/>
  <c r="CF157" i="136"/>
  <c r="CG157" i="136"/>
  <c r="CH157" i="136"/>
  <c r="CE158" i="136"/>
  <c r="CF158" i="136"/>
  <c r="CG158" i="136"/>
  <c r="CH158" i="136"/>
  <c r="CE159" i="136"/>
  <c r="CF159" i="136"/>
  <c r="CG159" i="136"/>
  <c r="CH159" i="136"/>
  <c r="CE160" i="136"/>
  <c r="CF160" i="136"/>
  <c r="CG160" i="136"/>
  <c r="CH160" i="136"/>
  <c r="CE161" i="136"/>
  <c r="CF161" i="136"/>
  <c r="CG161" i="136"/>
  <c r="CH161" i="136"/>
  <c r="CE162" i="136"/>
  <c r="CF162" i="136"/>
  <c r="CG162" i="136"/>
  <c r="CH162" i="136"/>
  <c r="CF3" i="136"/>
  <c r="CG3" i="136"/>
  <c r="CH3" i="136"/>
  <c r="CE3" i="136"/>
  <c r="BX4" i="136"/>
  <c r="AA11" i="4" s="1"/>
  <c r="BX5" i="136"/>
  <c r="AA12" i="4" s="1"/>
  <c r="BX6" i="136"/>
  <c r="AA13" i="4" s="1"/>
  <c r="BX7" i="136"/>
  <c r="AA14" i="4" s="1"/>
  <c r="BX8" i="136"/>
  <c r="AA15" i="4" s="1"/>
  <c r="BX9" i="136"/>
  <c r="AA17" i="4" s="1"/>
  <c r="BX10" i="136"/>
  <c r="AA18" i="4" s="1"/>
  <c r="BX11" i="136"/>
  <c r="AA19" i="4" s="1"/>
  <c r="BX12" i="136"/>
  <c r="AA20" i="4" s="1"/>
  <c r="BX13" i="136"/>
  <c r="AA21" i="4" s="1"/>
  <c r="BX14" i="136"/>
  <c r="AA22" i="4" s="1"/>
  <c r="BX15" i="136"/>
  <c r="AA23" i="4" s="1"/>
  <c r="BX16" i="136"/>
  <c r="AA26" i="4" s="1"/>
  <c r="BX17" i="136"/>
  <c r="AA27" i="4" s="1"/>
  <c r="BX18" i="136"/>
  <c r="AA28" i="4" s="1"/>
  <c r="BX19" i="136"/>
  <c r="AA29" i="4" s="1"/>
  <c r="BX20" i="136"/>
  <c r="AA30" i="4" s="1"/>
  <c r="BX21" i="136"/>
  <c r="AA31" i="4" s="1"/>
  <c r="BX22" i="136"/>
  <c r="AA33" i="4" s="1"/>
  <c r="BX23" i="136"/>
  <c r="AA34" i="4" s="1"/>
  <c r="BX24" i="136"/>
  <c r="AA36" i="4" s="1"/>
  <c r="BX25" i="136"/>
  <c r="AA38" i="4" s="1"/>
  <c r="BX26" i="136"/>
  <c r="AA40" i="4" s="1"/>
  <c r="BX27" i="136"/>
  <c r="AA42" i="4" s="1"/>
  <c r="BX28" i="136"/>
  <c r="AA43" i="4" s="1"/>
  <c r="BX29" i="136"/>
  <c r="AA44" i="4" s="1"/>
  <c r="BX30" i="136"/>
  <c r="AA45" i="4" s="1"/>
  <c r="BX31" i="136"/>
  <c r="AA46" i="4" s="1"/>
  <c r="BX32" i="136"/>
  <c r="AA47" i="4" s="1"/>
  <c r="BX33" i="136"/>
  <c r="AA49" i="4" s="1"/>
  <c r="BX34" i="136"/>
  <c r="AA50" i="4" s="1"/>
  <c r="BX35" i="136"/>
  <c r="AA51" i="4" s="1"/>
  <c r="BX36" i="136"/>
  <c r="AA52" i="4" s="1"/>
  <c r="BX37" i="136"/>
  <c r="AA53" i="4" s="1"/>
  <c r="BX38" i="136"/>
  <c r="AA54" i="4" s="1"/>
  <c r="BX39" i="136"/>
  <c r="AA57" i="4" s="1"/>
  <c r="BX40" i="136"/>
  <c r="AA58" i="4" s="1"/>
  <c r="BX41" i="136"/>
  <c r="AA59" i="4" s="1"/>
  <c r="BX42" i="136"/>
  <c r="AA60" i="4" s="1"/>
  <c r="BX43" i="136"/>
  <c r="AA61" i="4" s="1"/>
  <c r="BX44" i="136"/>
  <c r="AA62" i="4" s="1"/>
  <c r="BX45" i="136"/>
  <c r="AA64" i="4" s="1"/>
  <c r="BX46" i="136"/>
  <c r="AA65" i="4" s="1"/>
  <c r="BX47" i="136"/>
  <c r="AA66" i="4" s="1"/>
  <c r="BX48" i="136"/>
  <c r="AA67" i="4" s="1"/>
  <c r="BX49" i="136"/>
  <c r="AA69" i="4" s="1"/>
  <c r="BX50" i="136"/>
  <c r="AA71" i="4" s="1"/>
  <c r="BX51" i="136"/>
  <c r="AA73" i="4" s="1"/>
  <c r="BX52" i="136"/>
  <c r="AA74" i="4" s="1"/>
  <c r="BX53" i="136"/>
  <c r="AA75" i="4" s="1"/>
  <c r="BX54" i="136"/>
  <c r="AA76" i="4" s="1"/>
  <c r="BX55" i="136"/>
  <c r="AA77" i="4" s="1"/>
  <c r="BX56" i="136"/>
  <c r="AA80" i="4" s="1"/>
  <c r="BX57" i="136"/>
  <c r="AA83" i="4" s="1"/>
  <c r="BX58" i="136"/>
  <c r="AA85" i="4" s="1"/>
  <c r="BX59" i="136"/>
  <c r="AA86" i="4" s="1"/>
  <c r="BX60" i="136"/>
  <c r="AA87" i="4" s="1"/>
  <c r="BX61" i="136"/>
  <c r="AA88" i="4" s="1"/>
  <c r="BX62" i="136"/>
  <c r="AA89" i="4" s="1"/>
  <c r="BX63" i="136"/>
  <c r="AA97" i="4" s="1"/>
  <c r="BX64" i="136"/>
  <c r="AA101" i="4" s="1"/>
  <c r="BX65" i="136"/>
  <c r="AA103" i="4" s="1"/>
  <c r="BX66" i="136"/>
  <c r="AA104" i="4" s="1"/>
  <c r="BX67" i="136"/>
  <c r="AA105" i="4" s="1"/>
  <c r="BX68" i="136"/>
  <c r="AA106" i="4" s="1"/>
  <c r="BX69" i="136"/>
  <c r="AA107" i="4" s="1"/>
  <c r="BX70" i="136"/>
  <c r="AA110" i="4" s="1"/>
  <c r="BX71" i="136"/>
  <c r="AA111" i="4" s="1"/>
  <c r="BX72" i="136"/>
  <c r="AA112" i="4" s="1"/>
  <c r="BX73" i="136"/>
  <c r="AA114" i="4" s="1"/>
  <c r="BX74" i="136"/>
  <c r="AA118" i="4" s="1"/>
  <c r="BX75" i="136"/>
  <c r="AA120" i="4" s="1"/>
  <c r="BX76" i="136"/>
  <c r="AA122" i="4" s="1"/>
  <c r="BX77" i="136"/>
  <c r="AA123" i="4" s="1"/>
  <c r="BX78" i="136"/>
  <c r="AA124" i="4" s="1"/>
  <c r="BX79" i="136"/>
  <c r="AA125" i="4" s="1"/>
  <c r="BX80" i="136"/>
  <c r="AA127" i="4" s="1"/>
  <c r="BX81" i="136"/>
  <c r="AA128" i="4" s="1"/>
  <c r="BX82" i="136"/>
  <c r="AA130" i="4" s="1"/>
  <c r="BX83" i="136"/>
  <c r="AA131" i="4" s="1"/>
  <c r="BX84" i="136"/>
  <c r="AA132" i="4" s="1"/>
  <c r="BX85" i="136"/>
  <c r="AA134" i="4" s="1"/>
  <c r="BX86" i="136"/>
  <c r="AA135" i="4" s="1"/>
  <c r="BX87" i="136"/>
  <c r="AA139" i="4" s="1"/>
  <c r="BX88" i="136"/>
  <c r="AA140" i="4" s="1"/>
  <c r="BX89" i="136"/>
  <c r="AA141" i="4" s="1"/>
  <c r="BX90" i="136"/>
  <c r="AA142" i="4" s="1"/>
  <c r="BX91" i="136"/>
  <c r="AA144" i="4" s="1"/>
  <c r="BX92" i="136"/>
  <c r="AA145" i="4" s="1"/>
  <c r="BX93" i="136"/>
  <c r="AA153" i="4" s="1"/>
  <c r="BX94" i="136"/>
  <c r="AA162" i="4" s="1"/>
  <c r="BX95" i="136"/>
  <c r="AA169" i="4" s="1"/>
  <c r="BX96" i="136"/>
  <c r="AA178" i="4" s="1"/>
  <c r="BX97" i="136"/>
  <c r="BX98" i="136"/>
  <c r="AA182" i="4" s="1"/>
  <c r="BX99" i="136"/>
  <c r="AA183" i="4" s="1"/>
  <c r="BX100" i="136"/>
  <c r="AA184" i="4" s="1"/>
  <c r="BX101" i="136"/>
  <c r="AA189" i="4" s="1"/>
  <c r="BX102" i="136"/>
  <c r="AA197" i="4" s="1"/>
  <c r="BX103" i="136"/>
  <c r="AA199" i="4" s="1"/>
  <c r="BX104" i="136"/>
  <c r="AA203" i="4" s="1"/>
  <c r="BX105" i="136"/>
  <c r="AA204" i="4" s="1"/>
  <c r="BX106" i="136"/>
  <c r="BX107" i="136"/>
  <c r="AA205" i="4" s="1"/>
  <c r="BX108" i="136"/>
  <c r="BX109" i="136"/>
  <c r="BX3" i="136"/>
  <c r="AA10" i="4" s="1"/>
  <c r="BP82" i="136"/>
  <c r="BK4" i="139"/>
  <c r="BL4" i="139"/>
  <c r="BM4" i="139"/>
  <c r="BK5" i="139"/>
  <c r="BL5" i="139"/>
  <c r="BM5" i="139"/>
  <c r="BK6" i="139"/>
  <c r="BL6" i="139"/>
  <c r="BM6" i="139"/>
  <c r="BK7" i="139"/>
  <c r="BL7" i="139"/>
  <c r="BM7" i="139"/>
  <c r="BK8" i="139"/>
  <c r="BL8" i="139"/>
  <c r="BM8" i="139"/>
  <c r="BL3" i="139"/>
  <c r="BM3" i="139"/>
  <c r="BK3" i="139"/>
  <c r="Y46" i="35"/>
  <c r="Y33" i="35"/>
  <c r="CC4" i="137"/>
  <c r="CD4" i="137"/>
  <c r="CE4" i="137"/>
  <c r="CC5" i="137"/>
  <c r="CD5" i="137"/>
  <c r="CE5" i="137"/>
  <c r="CC6" i="137"/>
  <c r="CD6" i="137"/>
  <c r="CE6" i="137"/>
  <c r="CC7" i="137"/>
  <c r="CD7" i="137"/>
  <c r="CE7" i="137"/>
  <c r="CC8" i="137"/>
  <c r="CD8" i="137"/>
  <c r="CE8" i="137"/>
  <c r="CC9" i="137"/>
  <c r="CD9" i="137"/>
  <c r="CE9" i="137"/>
  <c r="CC10" i="137"/>
  <c r="CD10" i="137"/>
  <c r="CE10" i="137"/>
  <c r="CC11" i="137"/>
  <c r="CD11" i="137"/>
  <c r="CE11" i="137"/>
  <c r="CC12" i="137"/>
  <c r="CD12" i="137"/>
  <c r="CE12" i="137"/>
  <c r="CC13" i="137"/>
  <c r="CD13" i="137"/>
  <c r="CE13" i="137"/>
  <c r="CC14" i="137"/>
  <c r="CD14" i="137"/>
  <c r="CE14" i="137"/>
  <c r="CC15" i="137"/>
  <c r="CD15" i="137"/>
  <c r="CE15" i="137"/>
  <c r="CC16" i="137"/>
  <c r="CD16" i="137"/>
  <c r="CE16" i="137"/>
  <c r="CC17" i="137"/>
  <c r="CD17" i="137"/>
  <c r="CE17" i="137"/>
  <c r="CC18" i="137"/>
  <c r="CD18" i="137"/>
  <c r="CE18" i="137"/>
  <c r="CC19" i="137"/>
  <c r="CD19" i="137"/>
  <c r="CE19" i="137"/>
  <c r="CC20" i="137"/>
  <c r="CD20" i="137"/>
  <c r="CE20" i="137"/>
  <c r="CC21" i="137"/>
  <c r="CD21" i="137"/>
  <c r="CE21" i="137"/>
  <c r="CC22" i="137"/>
  <c r="CD22" i="137"/>
  <c r="CE22" i="137"/>
  <c r="CC23" i="137"/>
  <c r="CD23" i="137"/>
  <c r="CE23" i="137"/>
  <c r="CC24" i="137"/>
  <c r="CD24" i="137"/>
  <c r="CE24" i="137"/>
  <c r="CC25" i="137"/>
  <c r="CD25" i="137"/>
  <c r="CE25" i="137"/>
  <c r="CC26" i="137"/>
  <c r="CD26" i="137"/>
  <c r="CE26" i="137"/>
  <c r="CC27" i="137"/>
  <c r="CD27" i="137"/>
  <c r="CE27" i="137"/>
  <c r="CC28" i="137"/>
  <c r="CD28" i="137"/>
  <c r="CE28" i="137"/>
  <c r="CC29" i="137"/>
  <c r="CD29" i="137"/>
  <c r="CE29" i="137"/>
  <c r="CC30" i="137"/>
  <c r="CD30" i="137"/>
  <c r="CE30" i="137"/>
  <c r="CC31" i="137"/>
  <c r="CD31" i="137"/>
  <c r="CE31" i="137"/>
  <c r="CC32" i="137"/>
  <c r="CD32" i="137"/>
  <c r="CE32" i="137"/>
  <c r="CC33" i="137"/>
  <c r="CD33" i="137"/>
  <c r="CE33" i="137"/>
  <c r="CC34" i="137"/>
  <c r="CD34" i="137"/>
  <c r="CE34" i="137"/>
  <c r="CC35" i="137"/>
  <c r="CD35" i="137"/>
  <c r="CE35" i="137"/>
  <c r="CC36" i="137"/>
  <c r="CD36" i="137"/>
  <c r="CE36" i="137"/>
  <c r="CC37" i="137"/>
  <c r="CD37" i="137"/>
  <c r="CE37" i="137"/>
  <c r="CC38" i="137"/>
  <c r="CD38" i="137"/>
  <c r="CE38" i="137"/>
  <c r="CC39" i="137"/>
  <c r="CD39" i="137"/>
  <c r="CE39" i="137"/>
  <c r="CC40" i="137"/>
  <c r="CD40" i="137"/>
  <c r="CE40" i="137"/>
  <c r="CC41" i="137"/>
  <c r="CD41" i="137"/>
  <c r="CE41" i="137"/>
  <c r="CC42" i="137"/>
  <c r="CD42" i="137"/>
  <c r="CE42" i="137"/>
  <c r="CC43" i="137"/>
  <c r="CD43" i="137"/>
  <c r="CE43" i="137"/>
  <c r="CC44" i="137"/>
  <c r="CD44" i="137"/>
  <c r="CE44" i="137"/>
  <c r="CC45" i="137"/>
  <c r="CD45" i="137"/>
  <c r="CE45" i="137"/>
  <c r="CC46" i="137"/>
  <c r="CD46" i="137"/>
  <c r="CE46" i="137"/>
  <c r="CC47" i="137"/>
  <c r="CD47" i="137"/>
  <c r="CE47" i="137"/>
  <c r="CC48" i="137"/>
  <c r="CD48" i="137"/>
  <c r="CE48" i="137"/>
  <c r="CC49" i="137"/>
  <c r="CD49" i="137"/>
  <c r="CE49" i="137"/>
  <c r="CC50" i="137"/>
  <c r="CD50" i="137"/>
  <c r="CE50" i="137"/>
  <c r="CC51" i="137"/>
  <c r="CD51" i="137"/>
  <c r="CE51" i="137"/>
  <c r="CD3" i="137"/>
  <c r="CE3" i="137"/>
  <c r="CC3" i="137"/>
  <c r="BS4" i="137"/>
  <c r="Y22" i="35" s="1"/>
  <c r="BS5" i="137"/>
  <c r="Y30" i="35" s="1"/>
  <c r="BS6" i="137"/>
  <c r="Y29" i="35" s="1"/>
  <c r="BS7" i="137"/>
  <c r="BS8" i="137"/>
  <c r="Y28" i="35" s="1"/>
  <c r="BS9" i="137"/>
  <c r="Y43" i="35" s="1"/>
  <c r="BS10" i="137"/>
  <c r="Y42" i="35" s="1"/>
  <c r="BS11" i="137"/>
  <c r="Y56" i="35" s="1"/>
  <c r="BS12" i="137"/>
  <c r="Y57" i="35" s="1"/>
  <c r="BS13" i="137"/>
  <c r="Y59" i="35" s="1"/>
  <c r="BS3" i="137"/>
  <c r="Y26" i="35" s="1"/>
  <c r="BI3" i="136"/>
  <c r="Z10" i="4" s="1"/>
  <c r="BP4" i="136"/>
  <c r="BQ4" i="136"/>
  <c r="BR4" i="136"/>
  <c r="BS4" i="136"/>
  <c r="BP5" i="136"/>
  <c r="BQ5" i="136"/>
  <c r="BR5" i="136"/>
  <c r="BS5" i="136"/>
  <c r="BP6" i="136"/>
  <c r="BQ6" i="136"/>
  <c r="BR6" i="136"/>
  <c r="BS6" i="136"/>
  <c r="BP7" i="136"/>
  <c r="BQ7" i="136"/>
  <c r="BR7" i="136"/>
  <c r="BS7" i="136"/>
  <c r="BP8" i="136"/>
  <c r="BQ8" i="136"/>
  <c r="BR8" i="136"/>
  <c r="BS8" i="136"/>
  <c r="BP9" i="136"/>
  <c r="BQ9" i="136"/>
  <c r="BR9" i="136"/>
  <c r="BS9" i="136"/>
  <c r="BP10" i="136"/>
  <c r="BQ10" i="136"/>
  <c r="BR10" i="136"/>
  <c r="BS10" i="136"/>
  <c r="BP11" i="136"/>
  <c r="BQ11" i="136"/>
  <c r="BR11" i="136"/>
  <c r="BS11" i="136"/>
  <c r="BP12" i="136"/>
  <c r="BQ12" i="136"/>
  <c r="BR12" i="136"/>
  <c r="BS12" i="136"/>
  <c r="BP13" i="136"/>
  <c r="BQ13" i="136"/>
  <c r="BR13" i="136"/>
  <c r="BS13" i="136"/>
  <c r="BP14" i="136"/>
  <c r="BQ14" i="136"/>
  <c r="BR14" i="136"/>
  <c r="BS14" i="136"/>
  <c r="BP15" i="136"/>
  <c r="BQ15" i="136"/>
  <c r="BR15" i="136"/>
  <c r="BS15" i="136"/>
  <c r="BP16" i="136"/>
  <c r="BQ16" i="136"/>
  <c r="BR16" i="136"/>
  <c r="BS16" i="136"/>
  <c r="BP17" i="136"/>
  <c r="BQ17" i="136"/>
  <c r="BR17" i="136"/>
  <c r="BS17" i="136"/>
  <c r="BP18" i="136"/>
  <c r="BQ18" i="136"/>
  <c r="BR18" i="136"/>
  <c r="BS18" i="136"/>
  <c r="BP19" i="136"/>
  <c r="BQ19" i="136"/>
  <c r="BR19" i="136"/>
  <c r="BS19" i="136"/>
  <c r="BP20" i="136"/>
  <c r="BQ20" i="136"/>
  <c r="BR20" i="136"/>
  <c r="BS20" i="136"/>
  <c r="BP21" i="136"/>
  <c r="BQ21" i="136"/>
  <c r="BR21" i="136"/>
  <c r="BS21" i="136"/>
  <c r="BP22" i="136"/>
  <c r="BQ22" i="136"/>
  <c r="BR22" i="136"/>
  <c r="BS22" i="136"/>
  <c r="BP23" i="136"/>
  <c r="BQ23" i="136"/>
  <c r="BR23" i="136"/>
  <c r="BS23" i="136"/>
  <c r="BP24" i="136"/>
  <c r="BQ24" i="136"/>
  <c r="BR24" i="136"/>
  <c r="BS24" i="136"/>
  <c r="BP25" i="136"/>
  <c r="BQ25" i="136"/>
  <c r="BR25" i="136"/>
  <c r="BS25" i="136"/>
  <c r="BP26" i="136"/>
  <c r="BQ26" i="136"/>
  <c r="BR26" i="136"/>
  <c r="BS26" i="136"/>
  <c r="BP27" i="136"/>
  <c r="BQ27" i="136"/>
  <c r="BR27" i="136"/>
  <c r="BS27" i="136"/>
  <c r="BP28" i="136"/>
  <c r="BQ28" i="136"/>
  <c r="BR28" i="136"/>
  <c r="BS28" i="136"/>
  <c r="BP29" i="136"/>
  <c r="BQ29" i="136"/>
  <c r="BR29" i="136"/>
  <c r="BS29" i="136"/>
  <c r="BP30" i="136"/>
  <c r="BQ30" i="136"/>
  <c r="BR30" i="136"/>
  <c r="BS30" i="136"/>
  <c r="BP31" i="136"/>
  <c r="BQ31" i="136"/>
  <c r="BR31" i="136"/>
  <c r="BS31" i="136"/>
  <c r="BP32" i="136"/>
  <c r="BQ32" i="136"/>
  <c r="BR32" i="136"/>
  <c r="BS32" i="136"/>
  <c r="BP33" i="136"/>
  <c r="BQ33" i="136"/>
  <c r="BR33" i="136"/>
  <c r="BS33" i="136"/>
  <c r="BP34" i="136"/>
  <c r="BQ34" i="136"/>
  <c r="BR34" i="136"/>
  <c r="BS34" i="136"/>
  <c r="BP35" i="136"/>
  <c r="BQ35" i="136"/>
  <c r="BR35" i="136"/>
  <c r="BS35" i="136"/>
  <c r="BP36" i="136"/>
  <c r="BQ36" i="136"/>
  <c r="BR36" i="136"/>
  <c r="BS36" i="136"/>
  <c r="BP37" i="136"/>
  <c r="BQ37" i="136"/>
  <c r="BR37" i="136"/>
  <c r="BS37" i="136"/>
  <c r="BP38" i="136"/>
  <c r="BQ38" i="136"/>
  <c r="BR38" i="136"/>
  <c r="BS38" i="136"/>
  <c r="BP39" i="136"/>
  <c r="BQ39" i="136"/>
  <c r="BR39" i="136"/>
  <c r="BS39" i="136"/>
  <c r="BP40" i="136"/>
  <c r="BQ40" i="136"/>
  <c r="BR40" i="136"/>
  <c r="BS40" i="136"/>
  <c r="BP41" i="136"/>
  <c r="BQ41" i="136"/>
  <c r="BR41" i="136"/>
  <c r="BS41" i="136"/>
  <c r="BP42" i="136"/>
  <c r="BQ42" i="136"/>
  <c r="BR42" i="136"/>
  <c r="BS42" i="136"/>
  <c r="BP43" i="136"/>
  <c r="BQ43" i="136"/>
  <c r="BR43" i="136"/>
  <c r="BS43" i="136"/>
  <c r="BP44" i="136"/>
  <c r="BQ44" i="136"/>
  <c r="BR44" i="136"/>
  <c r="BS44" i="136"/>
  <c r="BP45" i="136"/>
  <c r="BQ45" i="136"/>
  <c r="BR45" i="136"/>
  <c r="BS45" i="136"/>
  <c r="BP46" i="136"/>
  <c r="BQ46" i="136"/>
  <c r="BR46" i="136"/>
  <c r="BS46" i="136"/>
  <c r="BP47" i="136"/>
  <c r="BQ47" i="136"/>
  <c r="BR47" i="136"/>
  <c r="BS47" i="136"/>
  <c r="BP48" i="136"/>
  <c r="BQ48" i="136"/>
  <c r="BR48" i="136"/>
  <c r="BS48" i="136"/>
  <c r="BP49" i="136"/>
  <c r="BQ49" i="136"/>
  <c r="BR49" i="136"/>
  <c r="BS49" i="136"/>
  <c r="BP50" i="136"/>
  <c r="BQ50" i="136"/>
  <c r="BR50" i="136"/>
  <c r="BS50" i="136"/>
  <c r="BP51" i="136"/>
  <c r="BQ51" i="136"/>
  <c r="BR51" i="136"/>
  <c r="BS51" i="136"/>
  <c r="BP52" i="136"/>
  <c r="BQ52" i="136"/>
  <c r="BR52" i="136"/>
  <c r="BS52" i="136"/>
  <c r="BP53" i="136"/>
  <c r="BQ53" i="136"/>
  <c r="BR53" i="136"/>
  <c r="BS53" i="136"/>
  <c r="BP54" i="136"/>
  <c r="BQ54" i="136"/>
  <c r="BR54" i="136"/>
  <c r="BS54" i="136"/>
  <c r="BP55" i="136"/>
  <c r="BQ55" i="136"/>
  <c r="BR55" i="136"/>
  <c r="BS55" i="136"/>
  <c r="BP56" i="136"/>
  <c r="BQ56" i="136"/>
  <c r="BR56" i="136"/>
  <c r="BS56" i="136"/>
  <c r="BP57" i="136"/>
  <c r="BQ57" i="136"/>
  <c r="BR57" i="136"/>
  <c r="BS57" i="136"/>
  <c r="BP58" i="136"/>
  <c r="BQ58" i="136"/>
  <c r="BR58" i="136"/>
  <c r="BS58" i="136"/>
  <c r="BP59" i="136"/>
  <c r="BQ59" i="136"/>
  <c r="BR59" i="136"/>
  <c r="BS59" i="136"/>
  <c r="BP60" i="136"/>
  <c r="BQ60" i="136"/>
  <c r="BR60" i="136"/>
  <c r="BS60" i="136"/>
  <c r="BP61" i="136"/>
  <c r="BQ61" i="136"/>
  <c r="BR61" i="136"/>
  <c r="BS61" i="136"/>
  <c r="BP62" i="136"/>
  <c r="BQ62" i="136"/>
  <c r="BR62" i="136"/>
  <c r="BS62" i="136"/>
  <c r="BP63" i="136"/>
  <c r="BQ63" i="136"/>
  <c r="BR63" i="136"/>
  <c r="BS63" i="136"/>
  <c r="BP64" i="136"/>
  <c r="BQ64" i="136"/>
  <c r="BR64" i="136"/>
  <c r="BS64" i="136"/>
  <c r="BP65" i="136"/>
  <c r="BQ65" i="136"/>
  <c r="BR65" i="136"/>
  <c r="BS65" i="136"/>
  <c r="BP66" i="136"/>
  <c r="BQ66" i="136"/>
  <c r="BR66" i="136"/>
  <c r="BS66" i="136"/>
  <c r="BP67" i="136"/>
  <c r="BQ67" i="136"/>
  <c r="BR67" i="136"/>
  <c r="BS67" i="136"/>
  <c r="BP68" i="136"/>
  <c r="BQ68" i="136"/>
  <c r="BR68" i="136"/>
  <c r="BS68" i="136"/>
  <c r="BP69" i="136"/>
  <c r="BQ69" i="136"/>
  <c r="BR69" i="136"/>
  <c r="BS69" i="136"/>
  <c r="BP70" i="136"/>
  <c r="BQ70" i="136"/>
  <c r="BR70" i="136"/>
  <c r="BS70" i="136"/>
  <c r="BP71" i="136"/>
  <c r="BQ71" i="136"/>
  <c r="BR71" i="136"/>
  <c r="BS71" i="136"/>
  <c r="BP72" i="136"/>
  <c r="BQ72" i="136"/>
  <c r="BR72" i="136"/>
  <c r="BS72" i="136"/>
  <c r="BP73" i="136"/>
  <c r="BQ73" i="136"/>
  <c r="BR73" i="136"/>
  <c r="BS73" i="136"/>
  <c r="BP74" i="136"/>
  <c r="BQ74" i="136"/>
  <c r="BR74" i="136"/>
  <c r="BS74" i="136"/>
  <c r="BP75" i="136"/>
  <c r="BQ75" i="136"/>
  <c r="BR75" i="136"/>
  <c r="BS75" i="136"/>
  <c r="BP76" i="136"/>
  <c r="BQ76" i="136"/>
  <c r="BR76" i="136"/>
  <c r="BS76" i="136"/>
  <c r="BP77" i="136"/>
  <c r="BQ77" i="136"/>
  <c r="BR77" i="136"/>
  <c r="BS77" i="136"/>
  <c r="BP78" i="136"/>
  <c r="BQ78" i="136"/>
  <c r="BR78" i="136"/>
  <c r="BS78" i="136"/>
  <c r="BP79" i="136"/>
  <c r="BQ79" i="136"/>
  <c r="BR79" i="136"/>
  <c r="BS79" i="136"/>
  <c r="BP80" i="136"/>
  <c r="BQ80" i="136"/>
  <c r="BR80" i="136"/>
  <c r="BS80" i="136"/>
  <c r="BP81" i="136"/>
  <c r="BQ81" i="136"/>
  <c r="BR81" i="136"/>
  <c r="BS81" i="136"/>
  <c r="BQ82" i="136"/>
  <c r="BR82" i="136"/>
  <c r="BS82" i="136"/>
  <c r="BP83" i="136"/>
  <c r="BQ83" i="136"/>
  <c r="BR83" i="136"/>
  <c r="BS83" i="136"/>
  <c r="BP84" i="136"/>
  <c r="BQ84" i="136"/>
  <c r="BR84" i="136"/>
  <c r="BS84" i="136"/>
  <c r="BP85" i="136"/>
  <c r="BQ85" i="136"/>
  <c r="BR85" i="136"/>
  <c r="BS85" i="136"/>
  <c r="BP86" i="136"/>
  <c r="BQ86" i="136"/>
  <c r="BR86" i="136"/>
  <c r="BS86" i="136"/>
  <c r="BP87" i="136"/>
  <c r="BQ87" i="136"/>
  <c r="BR87" i="136"/>
  <c r="BS87" i="136"/>
  <c r="BP88" i="136"/>
  <c r="BQ88" i="136"/>
  <c r="BR88" i="136"/>
  <c r="BS88" i="136"/>
  <c r="BP89" i="136"/>
  <c r="BQ89" i="136"/>
  <c r="BR89" i="136"/>
  <c r="BS89" i="136"/>
  <c r="BP90" i="136"/>
  <c r="BQ90" i="136"/>
  <c r="BR90" i="136"/>
  <c r="BS90" i="136"/>
  <c r="BP91" i="136"/>
  <c r="BQ91" i="136"/>
  <c r="BR91" i="136"/>
  <c r="BS91" i="136"/>
  <c r="BP92" i="136"/>
  <c r="BQ92" i="136"/>
  <c r="BR92" i="136"/>
  <c r="BS92" i="136"/>
  <c r="BP93" i="136"/>
  <c r="BQ93" i="136"/>
  <c r="BR93" i="136"/>
  <c r="BS93" i="136"/>
  <c r="BP94" i="136"/>
  <c r="BQ94" i="136"/>
  <c r="BR94" i="136"/>
  <c r="BS94" i="136"/>
  <c r="BP95" i="136"/>
  <c r="BQ95" i="136"/>
  <c r="BR95" i="136"/>
  <c r="BS95" i="136"/>
  <c r="BP96" i="136"/>
  <c r="BQ96" i="136"/>
  <c r="BR96" i="136"/>
  <c r="BS96" i="136"/>
  <c r="BP97" i="136"/>
  <c r="BQ97" i="136"/>
  <c r="BR97" i="136"/>
  <c r="BS97" i="136"/>
  <c r="BP98" i="136"/>
  <c r="BQ98" i="136"/>
  <c r="BR98" i="136"/>
  <c r="BS98" i="136"/>
  <c r="BP99" i="136"/>
  <c r="BQ99" i="136"/>
  <c r="BR99" i="136"/>
  <c r="BS99" i="136"/>
  <c r="BP100" i="136"/>
  <c r="BQ100" i="136"/>
  <c r="BR100" i="136"/>
  <c r="BS100" i="136"/>
  <c r="BP101" i="136"/>
  <c r="BQ101" i="136"/>
  <c r="BR101" i="136"/>
  <c r="BS101" i="136"/>
  <c r="BP102" i="136"/>
  <c r="BQ102" i="136"/>
  <c r="BR102" i="136"/>
  <c r="BS102" i="136"/>
  <c r="BP103" i="136"/>
  <c r="BQ103" i="136"/>
  <c r="BR103" i="136"/>
  <c r="BS103" i="136"/>
  <c r="BP104" i="136"/>
  <c r="BQ104" i="136"/>
  <c r="BR104" i="136"/>
  <c r="BS104" i="136"/>
  <c r="BP105" i="136"/>
  <c r="BQ105" i="136"/>
  <c r="BR105" i="136"/>
  <c r="BS105" i="136"/>
  <c r="BP106" i="136"/>
  <c r="BQ106" i="136"/>
  <c r="BR106" i="136"/>
  <c r="BS106" i="136"/>
  <c r="BP107" i="136"/>
  <c r="BQ107" i="136"/>
  <c r="BR107" i="136"/>
  <c r="BS107" i="136"/>
  <c r="BP108" i="136"/>
  <c r="BQ108" i="136"/>
  <c r="BR108" i="136"/>
  <c r="BS108" i="136"/>
  <c r="BP109" i="136"/>
  <c r="BQ109" i="136"/>
  <c r="BR109" i="136"/>
  <c r="BS109" i="136"/>
  <c r="BP110" i="136"/>
  <c r="BQ110" i="136"/>
  <c r="BR110" i="136"/>
  <c r="BS110" i="136"/>
  <c r="BP111" i="136"/>
  <c r="BQ111" i="136"/>
  <c r="BR111" i="136"/>
  <c r="BS111" i="136"/>
  <c r="BP112" i="136"/>
  <c r="BQ112" i="136"/>
  <c r="BR112" i="136"/>
  <c r="BS112" i="136"/>
  <c r="BP113" i="136"/>
  <c r="BQ113" i="136"/>
  <c r="BR113" i="136"/>
  <c r="BS113" i="136"/>
  <c r="BP114" i="136"/>
  <c r="BQ114" i="136"/>
  <c r="BR114" i="136"/>
  <c r="BS114" i="136"/>
  <c r="BP115" i="136"/>
  <c r="BQ115" i="136"/>
  <c r="BR115" i="136"/>
  <c r="BS115" i="136"/>
  <c r="BP116" i="136"/>
  <c r="BQ116" i="136"/>
  <c r="BR116" i="136"/>
  <c r="BS116" i="136"/>
  <c r="BP117" i="136"/>
  <c r="BQ117" i="136"/>
  <c r="BR117" i="136"/>
  <c r="BS117" i="136"/>
  <c r="BP118" i="136"/>
  <c r="BQ118" i="136"/>
  <c r="BR118" i="136"/>
  <c r="BS118" i="136"/>
  <c r="BP119" i="136"/>
  <c r="BQ119" i="136"/>
  <c r="BR119" i="136"/>
  <c r="BS119" i="136"/>
  <c r="BP120" i="136"/>
  <c r="BQ120" i="136"/>
  <c r="BR120" i="136"/>
  <c r="BS120" i="136"/>
  <c r="BP121" i="136"/>
  <c r="BQ121" i="136"/>
  <c r="BR121" i="136"/>
  <c r="BS121" i="136"/>
  <c r="BP122" i="136"/>
  <c r="BQ122" i="136"/>
  <c r="BR122" i="136"/>
  <c r="BS122" i="136"/>
  <c r="BP123" i="136"/>
  <c r="BQ123" i="136"/>
  <c r="BR123" i="136"/>
  <c r="BS123" i="136"/>
  <c r="BP124" i="136"/>
  <c r="BQ124" i="136"/>
  <c r="BR124" i="136"/>
  <c r="BS124" i="136"/>
  <c r="BP125" i="136"/>
  <c r="BQ125" i="136"/>
  <c r="BR125" i="136"/>
  <c r="BS125" i="136"/>
  <c r="BP126" i="136"/>
  <c r="BQ126" i="136"/>
  <c r="BR126" i="136"/>
  <c r="BS126" i="136"/>
  <c r="BP127" i="136"/>
  <c r="BQ127" i="136"/>
  <c r="BR127" i="136"/>
  <c r="BS127" i="136"/>
  <c r="BP128" i="136"/>
  <c r="BQ128" i="136"/>
  <c r="BR128" i="136"/>
  <c r="BS128" i="136"/>
  <c r="BP129" i="136"/>
  <c r="BQ129" i="136"/>
  <c r="BR129" i="136"/>
  <c r="BS129" i="136"/>
  <c r="BP130" i="136"/>
  <c r="BQ130" i="136"/>
  <c r="BR130" i="136"/>
  <c r="BS130" i="136"/>
  <c r="BP131" i="136"/>
  <c r="BQ131" i="136"/>
  <c r="BR131" i="136"/>
  <c r="BS131" i="136"/>
  <c r="BP132" i="136"/>
  <c r="BQ132" i="136"/>
  <c r="BR132" i="136"/>
  <c r="BS132" i="136"/>
  <c r="BP133" i="136"/>
  <c r="BQ133" i="136"/>
  <c r="BR133" i="136"/>
  <c r="BS133" i="136"/>
  <c r="BP134" i="136"/>
  <c r="BQ134" i="136"/>
  <c r="BR134" i="136"/>
  <c r="BS134" i="136"/>
  <c r="BP135" i="136"/>
  <c r="BQ135" i="136"/>
  <c r="BR135" i="136"/>
  <c r="BS135" i="136"/>
  <c r="BP136" i="136"/>
  <c r="BQ136" i="136"/>
  <c r="BR136" i="136"/>
  <c r="BS136" i="136"/>
  <c r="BP137" i="136"/>
  <c r="BQ137" i="136"/>
  <c r="BR137" i="136"/>
  <c r="BS137" i="136"/>
  <c r="BP138" i="136"/>
  <c r="BQ138" i="136"/>
  <c r="BR138" i="136"/>
  <c r="BS138" i="136"/>
  <c r="BP139" i="136"/>
  <c r="BQ139" i="136"/>
  <c r="BR139" i="136"/>
  <c r="BS139" i="136"/>
  <c r="BP140" i="136"/>
  <c r="BQ140" i="136"/>
  <c r="BR140" i="136"/>
  <c r="BS140" i="136"/>
  <c r="BP141" i="136"/>
  <c r="BQ141" i="136"/>
  <c r="BR141" i="136"/>
  <c r="BS141" i="136"/>
  <c r="BP142" i="136"/>
  <c r="BQ142" i="136"/>
  <c r="BR142" i="136"/>
  <c r="BS142" i="136"/>
  <c r="BP143" i="136"/>
  <c r="BQ143" i="136"/>
  <c r="BR143" i="136"/>
  <c r="BS143" i="136"/>
  <c r="BP144" i="136"/>
  <c r="BQ144" i="136"/>
  <c r="BR144" i="136"/>
  <c r="BS144" i="136"/>
  <c r="BP145" i="136"/>
  <c r="BQ145" i="136"/>
  <c r="BR145" i="136"/>
  <c r="BS145" i="136"/>
  <c r="BP146" i="136"/>
  <c r="BQ146" i="136"/>
  <c r="BR146" i="136"/>
  <c r="BS146" i="136"/>
  <c r="BP147" i="136"/>
  <c r="BQ147" i="136"/>
  <c r="BR147" i="136"/>
  <c r="BS147" i="136"/>
  <c r="BP148" i="136"/>
  <c r="BQ148" i="136"/>
  <c r="BR148" i="136"/>
  <c r="BS148" i="136"/>
  <c r="BP149" i="136"/>
  <c r="BQ149" i="136"/>
  <c r="BR149" i="136"/>
  <c r="BS149" i="136"/>
  <c r="BP150" i="136"/>
  <c r="BQ150" i="136"/>
  <c r="BR150" i="136"/>
  <c r="BS150" i="136"/>
  <c r="BP151" i="136"/>
  <c r="BQ151" i="136"/>
  <c r="BR151" i="136"/>
  <c r="BS151" i="136"/>
  <c r="BP152" i="136"/>
  <c r="BQ152" i="136"/>
  <c r="BR152" i="136"/>
  <c r="BS152" i="136"/>
  <c r="BP153" i="136"/>
  <c r="BQ153" i="136"/>
  <c r="BR153" i="136"/>
  <c r="BS153" i="136"/>
  <c r="BP154" i="136"/>
  <c r="BQ154" i="136"/>
  <c r="BR154" i="136"/>
  <c r="BS154" i="136"/>
  <c r="BP155" i="136"/>
  <c r="BQ155" i="136"/>
  <c r="BR155" i="136"/>
  <c r="BS155" i="136"/>
  <c r="BP156" i="136"/>
  <c r="BQ156" i="136"/>
  <c r="BR156" i="136"/>
  <c r="BS156" i="136"/>
  <c r="BP157" i="136"/>
  <c r="BQ157" i="136"/>
  <c r="BR157" i="136"/>
  <c r="BS157" i="136"/>
  <c r="BP158" i="136"/>
  <c r="BQ158" i="136"/>
  <c r="BR158" i="136"/>
  <c r="BS158" i="136"/>
  <c r="BP159" i="136"/>
  <c r="BQ159" i="136"/>
  <c r="BR159" i="136"/>
  <c r="BS159" i="136"/>
  <c r="BP160" i="136"/>
  <c r="BQ160" i="136"/>
  <c r="BR160" i="136"/>
  <c r="BS160" i="136"/>
  <c r="BP161" i="136"/>
  <c r="BQ161" i="136"/>
  <c r="BR161" i="136"/>
  <c r="BS161" i="136"/>
  <c r="BP162" i="136"/>
  <c r="BQ162" i="136"/>
  <c r="BR162" i="136"/>
  <c r="BS162" i="136"/>
  <c r="BQ3" i="136"/>
  <c r="BR3" i="136"/>
  <c r="BS3" i="136"/>
  <c r="BP3" i="136"/>
  <c r="BI4" i="136"/>
  <c r="Z11" i="4" s="1"/>
  <c r="BI5" i="136"/>
  <c r="Z12" i="4" s="1"/>
  <c r="BI6" i="136"/>
  <c r="Z13" i="4" s="1"/>
  <c r="BI7" i="136"/>
  <c r="Z14" i="4" s="1"/>
  <c r="BI8" i="136"/>
  <c r="Z15" i="4" s="1"/>
  <c r="BI9" i="136"/>
  <c r="Z17" i="4" s="1"/>
  <c r="BI10" i="136"/>
  <c r="Z18" i="4" s="1"/>
  <c r="BI11" i="136"/>
  <c r="Z19" i="4" s="1"/>
  <c r="BI12" i="136"/>
  <c r="Z20" i="4" s="1"/>
  <c r="BI13" i="136"/>
  <c r="Z21" i="4" s="1"/>
  <c r="BI14" i="136"/>
  <c r="Z23" i="4" s="1"/>
  <c r="BI15" i="136"/>
  <c r="Z26" i="4" s="1"/>
  <c r="BI16" i="136"/>
  <c r="Z27" i="4" s="1"/>
  <c r="BI17" i="136"/>
  <c r="Z28" i="4" s="1"/>
  <c r="BI18" i="136"/>
  <c r="Z33" i="4" s="1"/>
  <c r="BI19" i="136"/>
  <c r="Z34" i="4" s="1"/>
  <c r="BI20" i="136"/>
  <c r="Z36" i="4" s="1"/>
  <c r="BI21" i="136"/>
  <c r="Z42" i="4" s="1"/>
  <c r="BI22" i="136"/>
  <c r="Z43" i="4" s="1"/>
  <c r="BI23" i="136"/>
  <c r="Z44" i="4" s="1"/>
  <c r="BI24" i="136"/>
  <c r="Z45" i="4" s="1"/>
  <c r="BI25" i="136"/>
  <c r="Z46" i="4" s="1"/>
  <c r="BI26" i="136"/>
  <c r="Z47" i="4" s="1"/>
  <c r="BI27" i="136"/>
  <c r="Z49" i="4" s="1"/>
  <c r="BI28" i="136"/>
  <c r="Z50" i="4" s="1"/>
  <c r="BI29" i="136"/>
  <c r="Z51" i="4" s="1"/>
  <c r="BI30" i="136"/>
  <c r="Z54" i="4" s="1"/>
  <c r="BI31" i="136"/>
  <c r="Z57" i="4" s="1"/>
  <c r="BI32" i="136"/>
  <c r="Z58" i="4" s="1"/>
  <c r="BI33" i="136"/>
  <c r="Z59" i="4" s="1"/>
  <c r="BI34" i="136"/>
  <c r="Z64" i="4" s="1"/>
  <c r="BI35" i="136"/>
  <c r="Z65" i="4" s="1"/>
  <c r="BI36" i="136"/>
  <c r="Z66" i="4" s="1"/>
  <c r="BI37" i="136"/>
  <c r="Z67" i="4" s="1"/>
  <c r="BI38" i="136"/>
  <c r="Z73" i="4" s="1"/>
  <c r="BI39" i="136"/>
  <c r="Z74" i="4" s="1"/>
  <c r="BI40" i="136"/>
  <c r="Z75" i="4" s="1"/>
  <c r="BI41" i="136"/>
  <c r="Z76" i="4" s="1"/>
  <c r="BI42" i="136"/>
  <c r="Z77" i="4" s="1"/>
  <c r="BI43" i="136"/>
  <c r="Z80" i="4" s="1"/>
  <c r="BI44" i="136"/>
  <c r="Z89" i="4" s="1"/>
  <c r="BI45" i="136"/>
  <c r="Z90" i="4" s="1"/>
  <c r="BI46" i="136"/>
  <c r="Z92" i="4" s="1"/>
  <c r="BI47" i="136"/>
  <c r="Z97" i="4" s="1"/>
  <c r="BI48" i="136"/>
  <c r="Z99" i="4" s="1"/>
  <c r="BI49" i="136"/>
  <c r="Z100" i="4" s="1"/>
  <c r="BI50" i="136"/>
  <c r="Z103" i="4" s="1"/>
  <c r="BI51" i="136"/>
  <c r="Z104" i="4" s="1"/>
  <c r="BI52" i="136"/>
  <c r="Z105" i="4" s="1"/>
  <c r="BI53" i="136"/>
  <c r="Z107" i="4" s="1"/>
  <c r="BI54" i="136"/>
  <c r="Z110" i="4" s="1"/>
  <c r="BI55" i="136"/>
  <c r="Z111" i="4" s="1"/>
  <c r="BI56" i="136"/>
  <c r="Z112" i="4" s="1"/>
  <c r="BI57" i="136"/>
  <c r="Z114" i="4" s="1"/>
  <c r="BI58" i="136"/>
  <c r="Z120" i="4" s="1"/>
  <c r="BI59" i="136"/>
  <c r="Z121" i="4" s="1"/>
  <c r="BI60" i="136"/>
  <c r="Z122" i="4" s="1"/>
  <c r="BI61" i="136"/>
  <c r="Z123" i="4" s="1"/>
  <c r="BI62" i="136"/>
  <c r="Z124" i="4" s="1"/>
  <c r="BI63" i="136"/>
  <c r="Z125" i="4" s="1"/>
  <c r="BI64" i="136"/>
  <c r="Z127" i="4" s="1"/>
  <c r="BI65" i="136"/>
  <c r="Z128" i="4" s="1"/>
  <c r="BI66" i="136"/>
  <c r="Z129" i="4" s="1"/>
  <c r="BI67" i="136"/>
  <c r="Z130" i="4" s="1"/>
  <c r="BI68" i="136"/>
  <c r="Z131" i="4" s="1"/>
  <c r="BI69" i="136"/>
  <c r="Z132" i="4" s="1"/>
  <c r="BI70" i="136"/>
  <c r="Z133" i="4" s="1"/>
  <c r="BI71" i="136"/>
  <c r="Z134" i="4" s="1"/>
  <c r="BI72" i="136"/>
  <c r="Z139" i="4" s="1"/>
  <c r="BI73" i="136"/>
  <c r="Z140" i="4" s="1"/>
  <c r="BI74" i="136"/>
  <c r="Z142" i="4" s="1"/>
  <c r="BI75" i="136"/>
  <c r="Z144" i="4" s="1"/>
  <c r="BI76" i="136"/>
  <c r="Z145" i="4" s="1"/>
  <c r="BI77" i="136"/>
  <c r="Z147" i="4" s="1"/>
  <c r="BI78" i="136"/>
  <c r="Z153" i="4" s="1"/>
  <c r="BI79" i="136"/>
  <c r="Z162" i="4" s="1"/>
  <c r="BI80" i="136"/>
  <c r="Z169" i="4" s="1"/>
  <c r="BI81" i="136"/>
  <c r="Z182" i="4" s="1"/>
  <c r="BI82" i="136"/>
  <c r="Z183" i="4" s="1"/>
  <c r="BI83" i="136"/>
  <c r="Z184" i="4" s="1"/>
  <c r="Y59" i="37"/>
  <c r="Y28" i="37"/>
  <c r="CG4" i="138"/>
  <c r="CH4" i="138"/>
  <c r="CI4" i="138"/>
  <c r="CG5" i="138"/>
  <c r="CH5" i="138"/>
  <c r="CI5" i="138"/>
  <c r="CG6" i="138"/>
  <c r="CH6" i="138"/>
  <c r="CI6" i="138"/>
  <c r="CG7" i="138"/>
  <c r="CH7" i="138"/>
  <c r="CI7" i="138"/>
  <c r="CG8" i="138"/>
  <c r="CH8" i="138"/>
  <c r="CI8" i="138"/>
  <c r="CG9" i="138"/>
  <c r="CH9" i="138"/>
  <c r="CI9" i="138"/>
  <c r="CG10" i="138"/>
  <c r="CH10" i="138"/>
  <c r="CI10" i="138"/>
  <c r="CG11" i="138"/>
  <c r="CH11" i="138"/>
  <c r="CI11" i="138"/>
  <c r="CG12" i="138"/>
  <c r="CH12" i="138"/>
  <c r="CI12" i="138"/>
  <c r="CG13" i="138"/>
  <c r="CH13" i="138"/>
  <c r="CI13" i="138"/>
  <c r="CG14" i="138"/>
  <c r="CH14" i="138"/>
  <c r="CI14" i="138"/>
  <c r="CG15" i="138"/>
  <c r="CH15" i="138"/>
  <c r="CI15" i="138"/>
  <c r="CG16" i="138"/>
  <c r="CH16" i="138"/>
  <c r="CI16" i="138"/>
  <c r="CG17" i="138"/>
  <c r="CH17" i="138"/>
  <c r="CI17" i="138"/>
  <c r="CG18" i="138"/>
  <c r="CH18" i="138"/>
  <c r="CI18" i="138"/>
  <c r="CG19" i="138"/>
  <c r="CH19" i="138"/>
  <c r="CI19" i="138"/>
  <c r="CG20" i="138"/>
  <c r="CH20" i="138"/>
  <c r="CI20" i="138"/>
  <c r="CG21" i="138"/>
  <c r="CH21" i="138"/>
  <c r="CI21" i="138"/>
  <c r="CG22" i="138"/>
  <c r="CH22" i="138"/>
  <c r="CI22" i="138"/>
  <c r="CG23" i="138"/>
  <c r="CH23" i="138"/>
  <c r="CI23" i="138"/>
  <c r="CG24" i="138"/>
  <c r="CH24" i="138"/>
  <c r="CI24" i="138"/>
  <c r="CG25" i="138"/>
  <c r="CH25" i="138"/>
  <c r="CI25" i="138"/>
  <c r="CG26" i="138"/>
  <c r="CH26" i="138"/>
  <c r="CI26" i="138"/>
  <c r="CG27" i="138"/>
  <c r="CH27" i="138"/>
  <c r="CI27" i="138"/>
  <c r="CG28" i="138"/>
  <c r="CH28" i="138"/>
  <c r="CI28" i="138"/>
  <c r="CG29" i="138"/>
  <c r="CH29" i="138"/>
  <c r="CI29" i="138"/>
  <c r="CG30" i="138"/>
  <c r="CH30" i="138"/>
  <c r="CI30" i="138"/>
  <c r="CG31" i="138"/>
  <c r="CH31" i="138"/>
  <c r="CI31" i="138"/>
  <c r="CG32" i="138"/>
  <c r="CH32" i="138"/>
  <c r="CI32" i="138"/>
  <c r="CG33" i="138"/>
  <c r="CH33" i="138"/>
  <c r="CI33" i="138"/>
  <c r="CG34" i="138"/>
  <c r="CH34" i="138"/>
  <c r="CI34" i="138"/>
  <c r="CG35" i="138"/>
  <c r="CH35" i="138"/>
  <c r="CI35" i="138"/>
  <c r="CG36" i="138"/>
  <c r="CH36" i="138"/>
  <c r="CI36" i="138"/>
  <c r="CG37" i="138"/>
  <c r="CH37" i="138"/>
  <c r="CI37" i="138"/>
  <c r="CG38" i="138"/>
  <c r="CH38" i="138"/>
  <c r="CI38" i="138"/>
  <c r="CG39" i="138"/>
  <c r="CH39" i="138"/>
  <c r="CI39" i="138"/>
  <c r="CG40" i="138"/>
  <c r="CH40" i="138"/>
  <c r="CI40" i="138"/>
  <c r="CG41" i="138"/>
  <c r="CH41" i="138"/>
  <c r="CI41" i="138"/>
  <c r="CG42" i="138"/>
  <c r="CH42" i="138"/>
  <c r="CI42" i="138"/>
  <c r="CG43" i="138"/>
  <c r="CH43" i="138"/>
  <c r="CI43" i="138"/>
  <c r="CG44" i="138"/>
  <c r="CH44" i="138"/>
  <c r="CI44" i="138"/>
  <c r="CG45" i="138"/>
  <c r="CH45" i="138"/>
  <c r="CI45" i="138"/>
  <c r="CG46" i="138"/>
  <c r="CH46" i="138"/>
  <c r="CI46" i="138"/>
  <c r="CG47" i="138"/>
  <c r="CH47" i="138"/>
  <c r="CI47" i="138"/>
  <c r="CG48" i="138"/>
  <c r="CH48" i="138"/>
  <c r="CI48" i="138"/>
  <c r="CG49" i="138"/>
  <c r="CH49" i="138"/>
  <c r="CI49" i="138"/>
  <c r="CG50" i="138"/>
  <c r="CH50" i="138"/>
  <c r="CI50" i="138"/>
  <c r="CG51" i="138"/>
  <c r="CH51" i="138"/>
  <c r="CI51" i="138"/>
  <c r="CH3" i="138"/>
  <c r="CI3" i="138"/>
  <c r="CG3" i="138"/>
  <c r="BW4" i="138"/>
  <c r="Y17" i="37" s="1"/>
  <c r="BW5" i="138"/>
  <c r="Y18" i="37" s="1"/>
  <c r="BW6" i="138"/>
  <c r="Y23" i="37" s="1"/>
  <c r="BW7" i="138"/>
  <c r="Y36" i="37" s="1"/>
  <c r="Y35" i="37" s="1"/>
  <c r="BW8" i="138"/>
  <c r="Y44" i="37" s="1"/>
  <c r="BW9" i="138"/>
  <c r="Y45" i="37" s="1"/>
  <c r="BW10" i="138"/>
  <c r="Y46" i="37" s="1"/>
  <c r="BW11" i="138"/>
  <c r="Y47" i="37" s="1"/>
  <c r="BW12" i="138"/>
  <c r="Y49" i="37" s="1"/>
  <c r="BW13" i="138"/>
  <c r="Y51" i="37" s="1"/>
  <c r="BW14" i="138"/>
  <c r="Y52" i="37" s="1"/>
  <c r="BW15" i="138"/>
  <c r="Y53" i="37" s="1"/>
  <c r="BW16" i="138"/>
  <c r="Y54" i="37" s="1"/>
  <c r="BW17" i="138"/>
  <c r="Y57" i="37" s="1"/>
  <c r="H10" i="54"/>
  <c r="I10" i="54"/>
  <c r="I160" i="39" s="1"/>
  <c r="I154" i="39" s="1"/>
  <c r="J10" i="54"/>
  <c r="L10" i="54"/>
  <c r="K11" i="54"/>
  <c r="M11" i="54"/>
  <c r="O11" i="54"/>
  <c r="P11" i="54"/>
  <c r="P10" i="54" s="1"/>
  <c r="K12" i="54"/>
  <c r="M12" i="54"/>
  <c r="O12" i="54"/>
  <c r="Q12" i="54"/>
  <c r="R12" i="54" s="1"/>
  <c r="K13" i="54"/>
  <c r="M13" i="54"/>
  <c r="O13" i="54"/>
  <c r="Q13" i="54"/>
  <c r="R13" i="54" s="1"/>
  <c r="K14" i="54"/>
  <c r="M14" i="54"/>
  <c r="O14" i="54"/>
  <c r="Q14" i="54"/>
  <c r="R14" i="54" s="1"/>
  <c r="K15" i="54"/>
  <c r="M15" i="54"/>
  <c r="O15" i="54"/>
  <c r="Q15" i="54"/>
  <c r="R15" i="54" s="1"/>
  <c r="K16" i="54"/>
  <c r="M16" i="54"/>
  <c r="O16" i="54"/>
  <c r="Q16" i="54"/>
  <c r="R16" i="54" s="1"/>
  <c r="K17" i="54"/>
  <c r="M17" i="54"/>
  <c r="O17" i="54"/>
  <c r="Q17" i="54"/>
  <c r="R17" i="54" s="1"/>
  <c r="K18" i="54"/>
  <c r="M18" i="54"/>
  <c r="O18" i="54"/>
  <c r="Q18" i="54"/>
  <c r="R18" i="54" s="1"/>
  <c r="K19" i="54"/>
  <c r="M19" i="54"/>
  <c r="O19" i="54"/>
  <c r="Q19" i="54"/>
  <c r="R19" i="54" s="1"/>
  <c r="K20" i="54"/>
  <c r="M20" i="54"/>
  <c r="O20" i="54"/>
  <c r="Q20" i="54"/>
  <c r="R20" i="54" s="1"/>
  <c r="K21" i="54"/>
  <c r="M21" i="54"/>
  <c r="O21" i="54"/>
  <c r="Q21" i="54"/>
  <c r="R21" i="54" s="1"/>
  <c r="K22" i="54"/>
  <c r="M22" i="54"/>
  <c r="O22" i="54"/>
  <c r="Q22" i="54"/>
  <c r="R22" i="54" s="1"/>
  <c r="K23" i="54"/>
  <c r="M23" i="54"/>
  <c r="O23" i="54"/>
  <c r="Q23" i="54"/>
  <c r="R23" i="54" s="1"/>
  <c r="K24" i="54"/>
  <c r="M24" i="54"/>
  <c r="O24" i="54"/>
  <c r="Q24" i="54"/>
  <c r="R24" i="54" s="1"/>
  <c r="K25" i="54"/>
  <c r="M25" i="54"/>
  <c r="O25" i="54"/>
  <c r="Q25" i="54"/>
  <c r="R25" i="54" s="1"/>
  <c r="K26" i="54"/>
  <c r="M26" i="54"/>
  <c r="O26" i="54"/>
  <c r="Q26" i="54"/>
  <c r="R26" i="54" s="1"/>
  <c r="K27" i="54"/>
  <c r="M27" i="54"/>
  <c r="O27" i="54"/>
  <c r="Q27" i="54"/>
  <c r="R27" i="54" s="1"/>
  <c r="K28" i="54"/>
  <c r="M28" i="54"/>
  <c r="O28" i="54"/>
  <c r="Q28" i="54"/>
  <c r="R28" i="54" s="1"/>
  <c r="K29" i="54"/>
  <c r="M29" i="54"/>
  <c r="O29" i="54"/>
  <c r="Q29" i="54"/>
  <c r="R29" i="54" s="1"/>
  <c r="K30" i="54"/>
  <c r="M30" i="54"/>
  <c r="O30" i="54"/>
  <c r="Q30" i="54"/>
  <c r="R30" i="54" s="1"/>
  <c r="K31" i="54"/>
  <c r="M31" i="54"/>
  <c r="O31" i="54"/>
  <c r="Q31" i="54"/>
  <c r="R31" i="54" s="1"/>
  <c r="BJ48" i="138"/>
  <c r="N33" i="54" l="1"/>
  <c r="O33" i="54" s="1"/>
  <c r="I221" i="39"/>
  <c r="M221" i="39" s="1"/>
  <c r="AC42" i="37"/>
  <c r="AC38" i="37" s="1"/>
  <c r="AC11" i="37" s="1"/>
  <c r="AC20" i="35"/>
  <c r="AC10" i="35" s="1"/>
  <c r="AC9" i="35" s="1"/>
  <c r="AB27" i="35"/>
  <c r="AB55" i="35"/>
  <c r="AB54" i="35" s="1"/>
  <c r="AB53" i="35" s="1"/>
  <c r="N39" i="35"/>
  <c r="O39" i="35" s="1"/>
  <c r="DV12" i="137"/>
  <c r="DB111" i="136"/>
  <c r="AB43" i="37"/>
  <c r="Y16" i="37"/>
  <c r="Y14" i="37" s="1"/>
  <c r="Y12" i="37" s="1"/>
  <c r="Z16" i="37"/>
  <c r="Z14" i="37" s="1"/>
  <c r="Z12" i="37" s="1"/>
  <c r="AA16" i="37"/>
  <c r="AA14" i="37" s="1"/>
  <c r="AA12" i="37" s="1"/>
  <c r="AB16" i="37"/>
  <c r="AB14" i="37" s="1"/>
  <c r="AB12" i="37" s="1"/>
  <c r="AB48" i="37"/>
  <c r="AB37" i="35"/>
  <c r="AB21" i="35"/>
  <c r="BS14" i="137"/>
  <c r="AC9" i="4"/>
  <c r="AA21" i="35"/>
  <c r="AA55" i="35"/>
  <c r="AA54" i="35" s="1"/>
  <c r="AA53" i="35" s="1"/>
  <c r="AA27" i="35"/>
  <c r="AA37" i="35"/>
  <c r="AA48" i="37"/>
  <c r="AA43" i="37"/>
  <c r="Z43" i="37"/>
  <c r="O9" i="4"/>
  <c r="P9" i="4" s="1"/>
  <c r="CU162" i="136"/>
  <c r="CV162" i="136"/>
  <c r="CW162" i="136"/>
  <c r="CX162" i="136"/>
  <c r="N226" i="39"/>
  <c r="O226" i="39" s="1"/>
  <c r="AB9" i="4"/>
  <c r="N228" i="39"/>
  <c r="O228" i="39" s="1"/>
  <c r="AA172" i="4"/>
  <c r="Y32" i="35"/>
  <c r="Y27" i="35" s="1"/>
  <c r="Z48" i="37"/>
  <c r="M10" i="54"/>
  <c r="Z55" i="35"/>
  <c r="Z54" i="35" s="1"/>
  <c r="Z53" i="35" s="1"/>
  <c r="Z21" i="35"/>
  <c r="Z27" i="35"/>
  <c r="Z37" i="35"/>
  <c r="AA9" i="4"/>
  <c r="K10" i="54"/>
  <c r="Y21" i="35"/>
  <c r="Y37" i="35"/>
  <c r="Y55" i="35"/>
  <c r="Y54" i="35" s="1"/>
  <c r="Y53" i="35" s="1"/>
  <c r="Z9" i="4"/>
  <c r="Y48" i="37"/>
  <c r="Y43" i="37"/>
  <c r="Q11" i="54"/>
  <c r="O10" i="54"/>
  <c r="AU7" i="139"/>
  <c r="BJ49" i="138"/>
  <c r="BG32" i="137"/>
  <c r="BJ32" i="137" s="1"/>
  <c r="AX153" i="136"/>
  <c r="BG43" i="137"/>
  <c r="AW159" i="136"/>
  <c r="AZ159" i="136" s="1"/>
  <c r="N314" i="39" l="1"/>
  <c r="AB42" i="37"/>
  <c r="AB38" i="37" s="1"/>
  <c r="AB11" i="37" s="1"/>
  <c r="M16" i="37"/>
  <c r="AB20" i="35"/>
  <c r="AB10" i="35" s="1"/>
  <c r="AB9" i="35" s="1"/>
  <c r="O16" i="37"/>
  <c r="AA20" i="35"/>
  <c r="AA10" i="35" s="1"/>
  <c r="AA9" i="35" s="1"/>
  <c r="AA42" i="37"/>
  <c r="AA38" i="37" s="1"/>
  <c r="AA11" i="37" s="1"/>
  <c r="Z42" i="37"/>
  <c r="Z38" i="37" s="1"/>
  <c r="Z11" i="37" s="1"/>
  <c r="Z20" i="35"/>
  <c r="Z10" i="35" s="1"/>
  <c r="Z9" i="35" s="1"/>
  <c r="Y20" i="35"/>
  <c r="Y10" i="35" s="1"/>
  <c r="Y9" i="35" s="1"/>
  <c r="AW153" i="136"/>
  <c r="AZ153" i="136" s="1"/>
  <c r="BD153" i="136" s="1"/>
  <c r="Y42" i="37"/>
  <c r="Y38" i="37" s="1"/>
  <c r="Y11" i="37" s="1"/>
  <c r="Q10" i="54"/>
  <c r="R10" i="54" s="1"/>
  <c r="R11" i="54"/>
  <c r="AX4" i="139"/>
  <c r="AY4" i="139"/>
  <c r="AZ4" i="139"/>
  <c r="AX5" i="139"/>
  <c r="AY5" i="139"/>
  <c r="AZ5" i="139"/>
  <c r="AX6" i="139"/>
  <c r="AY6" i="139"/>
  <c r="AZ6" i="139"/>
  <c r="AX7" i="139"/>
  <c r="AY7" i="139"/>
  <c r="AZ7" i="139"/>
  <c r="AX8" i="139"/>
  <c r="AY8" i="139"/>
  <c r="AZ8" i="139"/>
  <c r="AY3" i="139"/>
  <c r="AZ3" i="139"/>
  <c r="AX3" i="139"/>
  <c r="BA3" i="136"/>
  <c r="BA4" i="136"/>
  <c r="BB4" i="136"/>
  <c r="BC4" i="136"/>
  <c r="BD4" i="136"/>
  <c r="BA5" i="136"/>
  <c r="BB5" i="136"/>
  <c r="BC5" i="136"/>
  <c r="BD5" i="136"/>
  <c r="BA6" i="136"/>
  <c r="BB6" i="136"/>
  <c r="BC6" i="136"/>
  <c r="BD6" i="136"/>
  <c r="BA7" i="136"/>
  <c r="BB7" i="136"/>
  <c r="BC7" i="136"/>
  <c r="BD7" i="136"/>
  <c r="BA8" i="136"/>
  <c r="BB8" i="136"/>
  <c r="BC8" i="136"/>
  <c r="BD8" i="136"/>
  <c r="BA9" i="136"/>
  <c r="BB9" i="136"/>
  <c r="BC9" i="136"/>
  <c r="BD9" i="136"/>
  <c r="BA10" i="136"/>
  <c r="BB10" i="136"/>
  <c r="BC10" i="136"/>
  <c r="BD10" i="136"/>
  <c r="BA11" i="136"/>
  <c r="BB11" i="136"/>
  <c r="BC11" i="136"/>
  <c r="BD11" i="136"/>
  <c r="BA12" i="136"/>
  <c r="BB12" i="136"/>
  <c r="BC12" i="136"/>
  <c r="BD12" i="136"/>
  <c r="BA13" i="136"/>
  <c r="BB13" i="136"/>
  <c r="BC13" i="136"/>
  <c r="BD13" i="136"/>
  <c r="BA14" i="136"/>
  <c r="BB14" i="136"/>
  <c r="BC14" i="136"/>
  <c r="BD14" i="136"/>
  <c r="BA15" i="136"/>
  <c r="BB15" i="136"/>
  <c r="BC15" i="136"/>
  <c r="BD15" i="136"/>
  <c r="BA16" i="136"/>
  <c r="BB16" i="136"/>
  <c r="BC16" i="136"/>
  <c r="BD16" i="136"/>
  <c r="BA17" i="136"/>
  <c r="BB17" i="136"/>
  <c r="BC17" i="136"/>
  <c r="BD17" i="136"/>
  <c r="BA18" i="136"/>
  <c r="BB18" i="136"/>
  <c r="BC18" i="136"/>
  <c r="BD18" i="136"/>
  <c r="BA19" i="136"/>
  <c r="BB19" i="136"/>
  <c r="BC19" i="136"/>
  <c r="BD19" i="136"/>
  <c r="BA20" i="136"/>
  <c r="BB20" i="136"/>
  <c r="BC20" i="136"/>
  <c r="BD20" i="136"/>
  <c r="BA21" i="136"/>
  <c r="BB21" i="136"/>
  <c r="BC21" i="136"/>
  <c r="BD21" i="136"/>
  <c r="BA22" i="136"/>
  <c r="BB22" i="136"/>
  <c r="BC22" i="136"/>
  <c r="BD22" i="136"/>
  <c r="BA23" i="136"/>
  <c r="BB23" i="136"/>
  <c r="BC23" i="136"/>
  <c r="BD23" i="136"/>
  <c r="BA24" i="136"/>
  <c r="BB24" i="136"/>
  <c r="BC24" i="136"/>
  <c r="BD24" i="136"/>
  <c r="BA25" i="136"/>
  <c r="BB25" i="136"/>
  <c r="BC25" i="136"/>
  <c r="BD25" i="136"/>
  <c r="BA26" i="136"/>
  <c r="BB26" i="136"/>
  <c r="BC26" i="136"/>
  <c r="BD26" i="136"/>
  <c r="BA27" i="136"/>
  <c r="BB27" i="136"/>
  <c r="BC27" i="136"/>
  <c r="BD27" i="136"/>
  <c r="BA28" i="136"/>
  <c r="BB28" i="136"/>
  <c r="BC28" i="136"/>
  <c r="BD28" i="136"/>
  <c r="BA29" i="136"/>
  <c r="BB29" i="136"/>
  <c r="BC29" i="136"/>
  <c r="BD29" i="136"/>
  <c r="BA30" i="136"/>
  <c r="BB30" i="136"/>
  <c r="BC30" i="136"/>
  <c r="BD30" i="136"/>
  <c r="BA31" i="136"/>
  <c r="BB31" i="136"/>
  <c r="BC31" i="136"/>
  <c r="BD31" i="136"/>
  <c r="BA32" i="136"/>
  <c r="BB32" i="136"/>
  <c r="BC32" i="136"/>
  <c r="BD32" i="136"/>
  <c r="BA33" i="136"/>
  <c r="BB33" i="136"/>
  <c r="BC33" i="136"/>
  <c r="BD33" i="136"/>
  <c r="BA34" i="136"/>
  <c r="BB34" i="136"/>
  <c r="BC34" i="136"/>
  <c r="BD34" i="136"/>
  <c r="BA35" i="136"/>
  <c r="BB35" i="136"/>
  <c r="BC35" i="136"/>
  <c r="BD35" i="136"/>
  <c r="BA36" i="136"/>
  <c r="BB36" i="136"/>
  <c r="BC36" i="136"/>
  <c r="BD36" i="136"/>
  <c r="BA37" i="136"/>
  <c r="BB37" i="136"/>
  <c r="BC37" i="136"/>
  <c r="BD37" i="136"/>
  <c r="BA38" i="136"/>
  <c r="BB38" i="136"/>
  <c r="BC38" i="136"/>
  <c r="BD38" i="136"/>
  <c r="BA39" i="136"/>
  <c r="BB39" i="136"/>
  <c r="BC39" i="136"/>
  <c r="BD39" i="136"/>
  <c r="BA40" i="136"/>
  <c r="BB40" i="136"/>
  <c r="BC40" i="136"/>
  <c r="BD40" i="136"/>
  <c r="BA41" i="136"/>
  <c r="BB41" i="136"/>
  <c r="BC41" i="136"/>
  <c r="BD41" i="136"/>
  <c r="BA42" i="136"/>
  <c r="BB42" i="136"/>
  <c r="BC42" i="136"/>
  <c r="BD42" i="136"/>
  <c r="BA43" i="136"/>
  <c r="BB43" i="136"/>
  <c r="BC43" i="136"/>
  <c r="BD43" i="136"/>
  <c r="BA44" i="136"/>
  <c r="BB44" i="136"/>
  <c r="BC44" i="136"/>
  <c r="BD44" i="136"/>
  <c r="BA45" i="136"/>
  <c r="BB45" i="136"/>
  <c r="BC45" i="136"/>
  <c r="BD45" i="136"/>
  <c r="BA46" i="136"/>
  <c r="BB46" i="136"/>
  <c r="BC46" i="136"/>
  <c r="BD46" i="136"/>
  <c r="BA47" i="136"/>
  <c r="BB47" i="136"/>
  <c r="BC47" i="136"/>
  <c r="BD47" i="136"/>
  <c r="BA48" i="136"/>
  <c r="BB48" i="136"/>
  <c r="BC48" i="136"/>
  <c r="BD48" i="136"/>
  <c r="BA49" i="136"/>
  <c r="BB49" i="136"/>
  <c r="BC49" i="136"/>
  <c r="BD49" i="136"/>
  <c r="BA50" i="136"/>
  <c r="BB50" i="136"/>
  <c r="BC50" i="136"/>
  <c r="BD50" i="136"/>
  <c r="BA51" i="136"/>
  <c r="BB51" i="136"/>
  <c r="BC51" i="136"/>
  <c r="BD51" i="136"/>
  <c r="BA52" i="136"/>
  <c r="BB52" i="136"/>
  <c r="BC52" i="136"/>
  <c r="BD52" i="136"/>
  <c r="BA53" i="136"/>
  <c r="BB53" i="136"/>
  <c r="BC53" i="136"/>
  <c r="BD53" i="136"/>
  <c r="BA54" i="136"/>
  <c r="BB54" i="136"/>
  <c r="BC54" i="136"/>
  <c r="BD54" i="136"/>
  <c r="BA55" i="136"/>
  <c r="BB55" i="136"/>
  <c r="BC55" i="136"/>
  <c r="BD55" i="136"/>
  <c r="BA56" i="136"/>
  <c r="BB56" i="136"/>
  <c r="BC56" i="136"/>
  <c r="BD56" i="136"/>
  <c r="BA57" i="136"/>
  <c r="BB57" i="136"/>
  <c r="BC57" i="136"/>
  <c r="BD57" i="136"/>
  <c r="BA58" i="136"/>
  <c r="BB58" i="136"/>
  <c r="BC58" i="136"/>
  <c r="BD58" i="136"/>
  <c r="BA59" i="136"/>
  <c r="BB59" i="136"/>
  <c r="BC59" i="136"/>
  <c r="BD59" i="136"/>
  <c r="BA60" i="136"/>
  <c r="BB60" i="136"/>
  <c r="BC60" i="136"/>
  <c r="BD60" i="136"/>
  <c r="BA61" i="136"/>
  <c r="BB61" i="136"/>
  <c r="BC61" i="136"/>
  <c r="BD61" i="136"/>
  <c r="BA62" i="136"/>
  <c r="BB62" i="136"/>
  <c r="BC62" i="136"/>
  <c r="BD62" i="136"/>
  <c r="BA63" i="136"/>
  <c r="BB63" i="136"/>
  <c r="BC63" i="136"/>
  <c r="BD63" i="136"/>
  <c r="BA64" i="136"/>
  <c r="BB64" i="136"/>
  <c r="BC64" i="136"/>
  <c r="BD64" i="136"/>
  <c r="BA65" i="136"/>
  <c r="BB65" i="136"/>
  <c r="BC65" i="136"/>
  <c r="BD65" i="136"/>
  <c r="BA66" i="136"/>
  <c r="BB66" i="136"/>
  <c r="BC66" i="136"/>
  <c r="BD66" i="136"/>
  <c r="BA67" i="136"/>
  <c r="BB67" i="136"/>
  <c r="BC67" i="136"/>
  <c r="BD67" i="136"/>
  <c r="BA68" i="136"/>
  <c r="BB68" i="136"/>
  <c r="BC68" i="136"/>
  <c r="BD68" i="136"/>
  <c r="BA69" i="136"/>
  <c r="BB69" i="136"/>
  <c r="BC69" i="136"/>
  <c r="BD69" i="136"/>
  <c r="BA70" i="136"/>
  <c r="BB70" i="136"/>
  <c r="BC70" i="136"/>
  <c r="BD70" i="136"/>
  <c r="BA71" i="136"/>
  <c r="BB71" i="136"/>
  <c r="BC71" i="136"/>
  <c r="BD71" i="136"/>
  <c r="BA72" i="136"/>
  <c r="BB72" i="136"/>
  <c r="BC72" i="136"/>
  <c r="BD72" i="136"/>
  <c r="BA73" i="136"/>
  <c r="BB73" i="136"/>
  <c r="BC73" i="136"/>
  <c r="BD73" i="136"/>
  <c r="BA74" i="136"/>
  <c r="BB74" i="136"/>
  <c r="BC74" i="136"/>
  <c r="BD74" i="136"/>
  <c r="BA75" i="136"/>
  <c r="BB75" i="136"/>
  <c r="BC75" i="136"/>
  <c r="BD75" i="136"/>
  <c r="BA76" i="136"/>
  <c r="BB76" i="136"/>
  <c r="BC76" i="136"/>
  <c r="BD76" i="136"/>
  <c r="BA77" i="136"/>
  <c r="BB77" i="136"/>
  <c r="BC77" i="136"/>
  <c r="BD77" i="136"/>
  <c r="BA78" i="136"/>
  <c r="BB78" i="136"/>
  <c r="BC78" i="136"/>
  <c r="BD78" i="136"/>
  <c r="BA79" i="136"/>
  <c r="BB79" i="136"/>
  <c r="BC79" i="136"/>
  <c r="BD79" i="136"/>
  <c r="BA80" i="136"/>
  <c r="BB80" i="136"/>
  <c r="BC80" i="136"/>
  <c r="BD80" i="136"/>
  <c r="BA81" i="136"/>
  <c r="BB81" i="136"/>
  <c r="BC81" i="136"/>
  <c r="BD81" i="136"/>
  <c r="BA82" i="136"/>
  <c r="BB82" i="136"/>
  <c r="BC82" i="136"/>
  <c r="BD82" i="136"/>
  <c r="BA83" i="136"/>
  <c r="BB83" i="136"/>
  <c r="BC83" i="136"/>
  <c r="BD83" i="136"/>
  <c r="BA84" i="136"/>
  <c r="BB84" i="136"/>
  <c r="BC84" i="136"/>
  <c r="BD84" i="136"/>
  <c r="BA85" i="136"/>
  <c r="BB85" i="136"/>
  <c r="BC85" i="136"/>
  <c r="BD85" i="136"/>
  <c r="BA86" i="136"/>
  <c r="BB86" i="136"/>
  <c r="BC86" i="136"/>
  <c r="BD86" i="136"/>
  <c r="BA87" i="136"/>
  <c r="BB87" i="136"/>
  <c r="BC87" i="136"/>
  <c r="BD87" i="136"/>
  <c r="BA88" i="136"/>
  <c r="BB88" i="136"/>
  <c r="BC88" i="136"/>
  <c r="BD88" i="136"/>
  <c r="BA89" i="136"/>
  <c r="BB89" i="136"/>
  <c r="BC89" i="136"/>
  <c r="BD89" i="136"/>
  <c r="BA90" i="136"/>
  <c r="BB90" i="136"/>
  <c r="BC90" i="136"/>
  <c r="BD90" i="136"/>
  <c r="BA91" i="136"/>
  <c r="BB91" i="136"/>
  <c r="BC91" i="136"/>
  <c r="BD91" i="136"/>
  <c r="BA92" i="136"/>
  <c r="BB92" i="136"/>
  <c r="BC92" i="136"/>
  <c r="BD92" i="136"/>
  <c r="BA93" i="136"/>
  <c r="BB93" i="136"/>
  <c r="BC93" i="136"/>
  <c r="BD93" i="136"/>
  <c r="BA94" i="136"/>
  <c r="BB94" i="136"/>
  <c r="BC94" i="136"/>
  <c r="BD94" i="136"/>
  <c r="BA95" i="136"/>
  <c r="BB95" i="136"/>
  <c r="BC95" i="136"/>
  <c r="BD95" i="136"/>
  <c r="BA96" i="136"/>
  <c r="BB96" i="136"/>
  <c r="BC96" i="136"/>
  <c r="BD96" i="136"/>
  <c r="BA97" i="136"/>
  <c r="BB97" i="136"/>
  <c r="BC97" i="136"/>
  <c r="BD97" i="136"/>
  <c r="BA98" i="136"/>
  <c r="BB98" i="136"/>
  <c r="BC98" i="136"/>
  <c r="BD98" i="136"/>
  <c r="BA99" i="136"/>
  <c r="BB99" i="136"/>
  <c r="BC99" i="136"/>
  <c r="BD99" i="136"/>
  <c r="BA100" i="136"/>
  <c r="BB100" i="136"/>
  <c r="BC100" i="136"/>
  <c r="BD100" i="136"/>
  <c r="BA101" i="136"/>
  <c r="BB101" i="136"/>
  <c r="BC101" i="136"/>
  <c r="BD101" i="136"/>
  <c r="BA102" i="136"/>
  <c r="BB102" i="136"/>
  <c r="BC102" i="136"/>
  <c r="BD102" i="136"/>
  <c r="BA103" i="136"/>
  <c r="BB103" i="136"/>
  <c r="BC103" i="136"/>
  <c r="BD103" i="136"/>
  <c r="BA104" i="136"/>
  <c r="BB104" i="136"/>
  <c r="BC104" i="136"/>
  <c r="BD104" i="136"/>
  <c r="BA105" i="136"/>
  <c r="BB105" i="136"/>
  <c r="BC105" i="136"/>
  <c r="BD105" i="136"/>
  <c r="BA106" i="136"/>
  <c r="BB106" i="136"/>
  <c r="BC106" i="136"/>
  <c r="BD106" i="136"/>
  <c r="BA107" i="136"/>
  <c r="BB107" i="136"/>
  <c r="BC107" i="136"/>
  <c r="BD107" i="136"/>
  <c r="BA108" i="136"/>
  <c r="BB108" i="136"/>
  <c r="BC108" i="136"/>
  <c r="BD108" i="136"/>
  <c r="BA109" i="136"/>
  <c r="BB109" i="136"/>
  <c r="BC109" i="136"/>
  <c r="BD109" i="136"/>
  <c r="BA110" i="136"/>
  <c r="BB110" i="136"/>
  <c r="BC110" i="136"/>
  <c r="BD110" i="136"/>
  <c r="BA111" i="136"/>
  <c r="BB111" i="136"/>
  <c r="BC111" i="136"/>
  <c r="BD111" i="136"/>
  <c r="BA112" i="136"/>
  <c r="BB112" i="136"/>
  <c r="BC112" i="136"/>
  <c r="BD112" i="136"/>
  <c r="BA113" i="136"/>
  <c r="BB113" i="136"/>
  <c r="BC113" i="136"/>
  <c r="BD113" i="136"/>
  <c r="BA114" i="136"/>
  <c r="BB114" i="136"/>
  <c r="BC114" i="136"/>
  <c r="BD114" i="136"/>
  <c r="BA115" i="136"/>
  <c r="BB115" i="136"/>
  <c r="BC115" i="136"/>
  <c r="BD115" i="136"/>
  <c r="BA116" i="136"/>
  <c r="BB116" i="136"/>
  <c r="BC116" i="136"/>
  <c r="BD116" i="136"/>
  <c r="BA117" i="136"/>
  <c r="BB117" i="136"/>
  <c r="BC117" i="136"/>
  <c r="BD117" i="136"/>
  <c r="BA118" i="136"/>
  <c r="BB118" i="136"/>
  <c r="BC118" i="136"/>
  <c r="BD118" i="136"/>
  <c r="BA119" i="136"/>
  <c r="BB119" i="136"/>
  <c r="BC119" i="136"/>
  <c r="BD119" i="136"/>
  <c r="BA120" i="136"/>
  <c r="BB120" i="136"/>
  <c r="BC120" i="136"/>
  <c r="BD120" i="136"/>
  <c r="BA121" i="136"/>
  <c r="BB121" i="136"/>
  <c r="BC121" i="136"/>
  <c r="BD121" i="136"/>
  <c r="BA122" i="136"/>
  <c r="BB122" i="136"/>
  <c r="BC122" i="136"/>
  <c r="BD122" i="136"/>
  <c r="BA123" i="136"/>
  <c r="BB123" i="136"/>
  <c r="BC123" i="136"/>
  <c r="BD123" i="136"/>
  <c r="BA124" i="136"/>
  <c r="BB124" i="136"/>
  <c r="BC124" i="136"/>
  <c r="BD124" i="136"/>
  <c r="BA125" i="136"/>
  <c r="BB125" i="136"/>
  <c r="BC125" i="136"/>
  <c r="BD125" i="136"/>
  <c r="BA126" i="136"/>
  <c r="BB126" i="136"/>
  <c r="BC126" i="136"/>
  <c r="BD126" i="136"/>
  <c r="BA127" i="136"/>
  <c r="BB127" i="136"/>
  <c r="BC127" i="136"/>
  <c r="BD127" i="136"/>
  <c r="BA128" i="136"/>
  <c r="BB128" i="136"/>
  <c r="BC128" i="136"/>
  <c r="BD128" i="136"/>
  <c r="BA129" i="136"/>
  <c r="BB129" i="136"/>
  <c r="BC129" i="136"/>
  <c r="BD129" i="136"/>
  <c r="BA130" i="136"/>
  <c r="BB130" i="136"/>
  <c r="BC130" i="136"/>
  <c r="BD130" i="136"/>
  <c r="BA131" i="136"/>
  <c r="BB131" i="136"/>
  <c r="BC131" i="136"/>
  <c r="BD131" i="136"/>
  <c r="BA132" i="136"/>
  <c r="BB132" i="136"/>
  <c r="BC132" i="136"/>
  <c r="BD132" i="136"/>
  <c r="BA133" i="136"/>
  <c r="BB133" i="136"/>
  <c r="BC133" i="136"/>
  <c r="BD133" i="136"/>
  <c r="BA134" i="136"/>
  <c r="BB134" i="136"/>
  <c r="BC134" i="136"/>
  <c r="BD134" i="136"/>
  <c r="BA135" i="136"/>
  <c r="BB135" i="136"/>
  <c r="BC135" i="136"/>
  <c r="BD135" i="136"/>
  <c r="BA136" i="136"/>
  <c r="BB136" i="136"/>
  <c r="BC136" i="136"/>
  <c r="BD136" i="136"/>
  <c r="BA137" i="136"/>
  <c r="BB137" i="136"/>
  <c r="BC137" i="136"/>
  <c r="BD137" i="136"/>
  <c r="BA138" i="136"/>
  <c r="BB138" i="136"/>
  <c r="BC138" i="136"/>
  <c r="BD138" i="136"/>
  <c r="BA139" i="136"/>
  <c r="BB139" i="136"/>
  <c r="BC139" i="136"/>
  <c r="BD139" i="136"/>
  <c r="BA140" i="136"/>
  <c r="BB140" i="136"/>
  <c r="BC140" i="136"/>
  <c r="BD140" i="136"/>
  <c r="BA141" i="136"/>
  <c r="BB141" i="136"/>
  <c r="BC141" i="136"/>
  <c r="BD141" i="136"/>
  <c r="BA142" i="136"/>
  <c r="BB142" i="136"/>
  <c r="BC142" i="136"/>
  <c r="BD142" i="136"/>
  <c r="BA143" i="136"/>
  <c r="BB143" i="136"/>
  <c r="BC143" i="136"/>
  <c r="BD143" i="136"/>
  <c r="BA144" i="136"/>
  <c r="BB144" i="136"/>
  <c r="BC144" i="136"/>
  <c r="BD144" i="136"/>
  <c r="BA145" i="136"/>
  <c r="BB145" i="136"/>
  <c r="BC145" i="136"/>
  <c r="BD145" i="136"/>
  <c r="BA146" i="136"/>
  <c r="BB146" i="136"/>
  <c r="BC146" i="136"/>
  <c r="BD146" i="136"/>
  <c r="BA147" i="136"/>
  <c r="BB147" i="136"/>
  <c r="BC147" i="136"/>
  <c r="BD147" i="136"/>
  <c r="BA148" i="136"/>
  <c r="BB148" i="136"/>
  <c r="BC148" i="136"/>
  <c r="BD148" i="136"/>
  <c r="BA149" i="136"/>
  <c r="BB149" i="136"/>
  <c r="BC149" i="136"/>
  <c r="BD149" i="136"/>
  <c r="BA150" i="136"/>
  <c r="BB150" i="136"/>
  <c r="BC150" i="136"/>
  <c r="BD150" i="136"/>
  <c r="BA151" i="136"/>
  <c r="BB151" i="136"/>
  <c r="BC151" i="136"/>
  <c r="BD151" i="136"/>
  <c r="BA152" i="136"/>
  <c r="BB152" i="136"/>
  <c r="BC152" i="136"/>
  <c r="BD152" i="136"/>
  <c r="BB153" i="136"/>
  <c r="BC153" i="136"/>
  <c r="BA154" i="136"/>
  <c r="BB154" i="136"/>
  <c r="BC154" i="136"/>
  <c r="BD154" i="136"/>
  <c r="BA155" i="136"/>
  <c r="BB155" i="136"/>
  <c r="BC155" i="136"/>
  <c r="BD155" i="136"/>
  <c r="BA156" i="136"/>
  <c r="BB156" i="136"/>
  <c r="BC156" i="136"/>
  <c r="BD156" i="136"/>
  <c r="BA157" i="136"/>
  <c r="BB157" i="136"/>
  <c r="BC157" i="136"/>
  <c r="BD157" i="136"/>
  <c r="BA158" i="136"/>
  <c r="BB158" i="136"/>
  <c r="BC158" i="136"/>
  <c r="BD158" i="136"/>
  <c r="BA159" i="136"/>
  <c r="BB159" i="136"/>
  <c r="BC159" i="136"/>
  <c r="BD159" i="136"/>
  <c r="BB3" i="136"/>
  <c r="BC3" i="136"/>
  <c r="BD3" i="136"/>
  <c r="AT4" i="136"/>
  <c r="Y11" i="4" s="1"/>
  <c r="AT5" i="136"/>
  <c r="Y12" i="4" s="1"/>
  <c r="AT6" i="136"/>
  <c r="Y13" i="4" s="1"/>
  <c r="AT7" i="136"/>
  <c r="Y14" i="4" s="1"/>
  <c r="AT8" i="136"/>
  <c r="Y15" i="4" s="1"/>
  <c r="AT9" i="136"/>
  <c r="Y17" i="4" s="1"/>
  <c r="AT10" i="136"/>
  <c r="Y18" i="4" s="1"/>
  <c r="AT11" i="136"/>
  <c r="Y19" i="4" s="1"/>
  <c r="AT12" i="136"/>
  <c r="Y20" i="4" s="1"/>
  <c r="AT13" i="136"/>
  <c r="Y21" i="4" s="1"/>
  <c r="AT14" i="136"/>
  <c r="Y23" i="4" s="1"/>
  <c r="AT15" i="136"/>
  <c r="Y26" i="4" s="1"/>
  <c r="AT16" i="136"/>
  <c r="Y27" i="4" s="1"/>
  <c r="AT17" i="136"/>
  <c r="Y28" i="4" s="1"/>
  <c r="AT18" i="136"/>
  <c r="Y33" i="4" s="1"/>
  <c r="AT19" i="136"/>
  <c r="Y34" i="4" s="1"/>
  <c r="AT20" i="136"/>
  <c r="Y36" i="4" s="1"/>
  <c r="AT21" i="136"/>
  <c r="Y42" i="4" s="1"/>
  <c r="AT22" i="136"/>
  <c r="Y43" i="4" s="1"/>
  <c r="AT23" i="136"/>
  <c r="Y44" i="4" s="1"/>
  <c r="AT24" i="136"/>
  <c r="Y45" i="4" s="1"/>
  <c r="AT25" i="136"/>
  <c r="Y46" i="4" s="1"/>
  <c r="AT26" i="136"/>
  <c r="Y47" i="4" s="1"/>
  <c r="AT27" i="136"/>
  <c r="Y49" i="4" s="1"/>
  <c r="AT28" i="136"/>
  <c r="Y50" i="4" s="1"/>
  <c r="AT29" i="136"/>
  <c r="Y51" i="4" s="1"/>
  <c r="AT30" i="136"/>
  <c r="Y52" i="4" s="1"/>
  <c r="AT31" i="136"/>
  <c r="Y54" i="4" s="1"/>
  <c r="AT32" i="136"/>
  <c r="Y57" i="4" s="1"/>
  <c r="AT33" i="136"/>
  <c r="Y58" i="4" s="1"/>
  <c r="AT34" i="136"/>
  <c r="Y59" i="4" s="1"/>
  <c r="AT35" i="136"/>
  <c r="Y60" i="4" s="1"/>
  <c r="AT36" i="136"/>
  <c r="Y61" i="4" s="1"/>
  <c r="AT37" i="136"/>
  <c r="Y62" i="4" s="1"/>
  <c r="AT38" i="136"/>
  <c r="Y64" i="4" s="1"/>
  <c r="AT39" i="136"/>
  <c r="Y65" i="4" s="1"/>
  <c r="AT40" i="136"/>
  <c r="Y66" i="4" s="1"/>
  <c r="AT41" i="136"/>
  <c r="Y67" i="4" s="1"/>
  <c r="AT42" i="136"/>
  <c r="Y73" i="4" s="1"/>
  <c r="AT43" i="136"/>
  <c r="Y74" i="4" s="1"/>
  <c r="AT44" i="136"/>
  <c r="Y75" i="4" s="1"/>
  <c r="AT45" i="136"/>
  <c r="Y76" i="4" s="1"/>
  <c r="AT46" i="136"/>
  <c r="Y77" i="4" s="1"/>
  <c r="AT47" i="136"/>
  <c r="Y80" i="4" s="1"/>
  <c r="AT48" i="136"/>
  <c r="Y83" i="4" s="1"/>
  <c r="AT49" i="136"/>
  <c r="Y85" i="4" s="1"/>
  <c r="AT50" i="136"/>
  <c r="Y89" i="4" s="1"/>
  <c r="AT51" i="136"/>
  <c r="Y97" i="4" s="1"/>
  <c r="AT52" i="136"/>
  <c r="Y101" i="4" s="1"/>
  <c r="AT53" i="136"/>
  <c r="Y103" i="4" s="1"/>
  <c r="AT54" i="136"/>
  <c r="Y104" i="4" s="1"/>
  <c r="AT55" i="136"/>
  <c r="Y105" i="4" s="1"/>
  <c r="AT56" i="136"/>
  <c r="Y106" i="4" s="1"/>
  <c r="AT57" i="136"/>
  <c r="Y107" i="4" s="1"/>
  <c r="AT58" i="136"/>
  <c r="Y110" i="4" s="1"/>
  <c r="AT59" i="136"/>
  <c r="Y111" i="4" s="1"/>
  <c r="AT60" i="136"/>
  <c r="Y112" i="4" s="1"/>
  <c r="AT61" i="136"/>
  <c r="Y113" i="4" s="1"/>
  <c r="AT62" i="136"/>
  <c r="Y114" i="4" s="1"/>
  <c r="AT63" i="136"/>
  <c r="Y116" i="4" s="1"/>
  <c r="AT64" i="136"/>
  <c r="Y118" i="4" s="1"/>
  <c r="AT65" i="136"/>
  <c r="Y120" i="4" s="1"/>
  <c r="AT66" i="136"/>
  <c r="Y121" i="4" s="1"/>
  <c r="AT67" i="136"/>
  <c r="Y122" i="4" s="1"/>
  <c r="AT68" i="136"/>
  <c r="Y123" i="4" s="1"/>
  <c r="AT69" i="136"/>
  <c r="Y124" i="4" s="1"/>
  <c r="AT70" i="136"/>
  <c r="Y125" i="4" s="1"/>
  <c r="AT71" i="136"/>
  <c r="Y127" i="4" s="1"/>
  <c r="AT72" i="136"/>
  <c r="Y128" i="4" s="1"/>
  <c r="AT73" i="136"/>
  <c r="Y129" i="4" s="1"/>
  <c r="AT74" i="136"/>
  <c r="Y130" i="4" s="1"/>
  <c r="AT75" i="136"/>
  <c r="Y131" i="4" s="1"/>
  <c r="AT76" i="136"/>
  <c r="Y132" i="4" s="1"/>
  <c r="AT77" i="136"/>
  <c r="Y134" i="4" s="1"/>
  <c r="AT78" i="136"/>
  <c r="Y135" i="4" s="1"/>
  <c r="AT79" i="136"/>
  <c r="Y139" i="4" s="1"/>
  <c r="AT80" i="136"/>
  <c r="Y142" i="4" s="1"/>
  <c r="AT81" i="136"/>
  <c r="Y143" i="4" s="1"/>
  <c r="AT82" i="136"/>
  <c r="Y144" i="4" s="1"/>
  <c r="AT83" i="136"/>
  <c r="Y145" i="4" s="1"/>
  <c r="AT84" i="136"/>
  <c r="Y153" i="4" s="1"/>
  <c r="AT85" i="136"/>
  <c r="Y162" i="4" s="1"/>
  <c r="AT86" i="136"/>
  <c r="Y169" i="4" s="1"/>
  <c r="AT87" i="136"/>
  <c r="Y182" i="4" s="1"/>
  <c r="AT88" i="136"/>
  <c r="Y183" i="4" s="1"/>
  <c r="AT89" i="136"/>
  <c r="Y184" i="4" s="1"/>
  <c r="AT90" i="136"/>
  <c r="Y189" i="4" s="1"/>
  <c r="AT91" i="136"/>
  <c r="Y197" i="4" s="1"/>
  <c r="AT92" i="136"/>
  <c r="Y198" i="4" s="1"/>
  <c r="AT93" i="136"/>
  <c r="Y199" i="4" s="1"/>
  <c r="AT3" i="136"/>
  <c r="Y10" i="4" s="1"/>
  <c r="X61" i="35"/>
  <c r="X46" i="35"/>
  <c r="X33" i="35"/>
  <c r="X35" i="35"/>
  <c r="X11" i="35"/>
  <c r="BJ4" i="137"/>
  <c r="BK4" i="137"/>
  <c r="BL4" i="137"/>
  <c r="BJ5" i="137"/>
  <c r="BK5" i="137"/>
  <c r="BL5" i="137"/>
  <c r="BJ6" i="137"/>
  <c r="BK6" i="137"/>
  <c r="BL6" i="137"/>
  <c r="BJ7" i="137"/>
  <c r="BK7" i="137"/>
  <c r="BL7" i="137"/>
  <c r="BJ8" i="137"/>
  <c r="BK8" i="137"/>
  <c r="BL8" i="137"/>
  <c r="BJ9" i="137"/>
  <c r="BK9" i="137"/>
  <c r="BL9" i="137"/>
  <c r="BJ10" i="137"/>
  <c r="BK10" i="137"/>
  <c r="BL10" i="137"/>
  <c r="BJ11" i="137"/>
  <c r="BK11" i="137"/>
  <c r="BL11" i="137"/>
  <c r="BJ12" i="137"/>
  <c r="BK12" i="137"/>
  <c r="BL12" i="137"/>
  <c r="BJ13" i="137"/>
  <c r="BK13" i="137"/>
  <c r="BL13" i="137"/>
  <c r="BJ14" i="137"/>
  <c r="BK14" i="137"/>
  <c r="BL14" i="137"/>
  <c r="BJ15" i="137"/>
  <c r="BK15" i="137"/>
  <c r="BL15" i="137"/>
  <c r="BJ16" i="137"/>
  <c r="BK16" i="137"/>
  <c r="BL16" i="137"/>
  <c r="BJ17" i="137"/>
  <c r="BK17" i="137"/>
  <c r="BL17" i="137"/>
  <c r="BJ18" i="137"/>
  <c r="BK18" i="137"/>
  <c r="BL18" i="137"/>
  <c r="BJ19" i="137"/>
  <c r="BK19" i="137"/>
  <c r="BL19" i="137"/>
  <c r="BJ20" i="137"/>
  <c r="BK20" i="137"/>
  <c r="BL20" i="137"/>
  <c r="BJ21" i="137"/>
  <c r="BK21" i="137"/>
  <c r="BL21" i="137"/>
  <c r="BJ22" i="137"/>
  <c r="BK22" i="137"/>
  <c r="BL22" i="137"/>
  <c r="BJ23" i="137"/>
  <c r="BK23" i="137"/>
  <c r="BL23" i="137"/>
  <c r="BJ24" i="137"/>
  <c r="BK24" i="137"/>
  <c r="BL24" i="137"/>
  <c r="BJ25" i="137"/>
  <c r="BK25" i="137"/>
  <c r="BL25" i="137"/>
  <c r="BJ26" i="137"/>
  <c r="BK26" i="137"/>
  <c r="BL26" i="137"/>
  <c r="BJ27" i="137"/>
  <c r="BK27" i="137"/>
  <c r="BL27" i="137"/>
  <c r="BJ28" i="137"/>
  <c r="BK28" i="137"/>
  <c r="BL28" i="137"/>
  <c r="BJ29" i="137"/>
  <c r="BK29" i="137"/>
  <c r="BL29" i="137"/>
  <c r="BJ30" i="137"/>
  <c r="BK30" i="137"/>
  <c r="BL30" i="137"/>
  <c r="BJ31" i="137"/>
  <c r="BK31" i="137"/>
  <c r="BL31" i="137"/>
  <c r="BK32" i="137"/>
  <c r="BL32" i="137"/>
  <c r="BJ33" i="137"/>
  <c r="BK33" i="137"/>
  <c r="BL33" i="137"/>
  <c r="BJ34" i="137"/>
  <c r="BK34" i="137"/>
  <c r="BL34" i="137"/>
  <c r="BJ35" i="137"/>
  <c r="BK35" i="137"/>
  <c r="BL35" i="137"/>
  <c r="BJ36" i="137"/>
  <c r="BK36" i="137"/>
  <c r="BL36" i="137"/>
  <c r="BJ37" i="137"/>
  <c r="BK37" i="137"/>
  <c r="BL37" i="137"/>
  <c r="BJ38" i="137"/>
  <c r="BK38" i="137"/>
  <c r="BL38" i="137"/>
  <c r="BJ39" i="137"/>
  <c r="BK39" i="137"/>
  <c r="BL39" i="137"/>
  <c r="BJ40" i="137"/>
  <c r="BK40" i="137"/>
  <c r="BL40" i="137"/>
  <c r="BJ41" i="137"/>
  <c r="BK41" i="137"/>
  <c r="BL41" i="137"/>
  <c r="BJ42" i="137"/>
  <c r="BK42" i="137"/>
  <c r="BL42" i="137"/>
  <c r="BJ43" i="137"/>
  <c r="BK43" i="137"/>
  <c r="BL43" i="137"/>
  <c r="BJ44" i="137"/>
  <c r="BK44" i="137"/>
  <c r="BL44" i="137"/>
  <c r="BJ45" i="137"/>
  <c r="BK45" i="137"/>
  <c r="BL45" i="137"/>
  <c r="BJ46" i="137"/>
  <c r="BK46" i="137"/>
  <c r="BL46" i="137"/>
  <c r="BJ47" i="137"/>
  <c r="BK47" i="137"/>
  <c r="BL47" i="137"/>
  <c r="BJ48" i="137"/>
  <c r="BK48" i="137"/>
  <c r="BL48" i="137"/>
  <c r="BK3" i="137"/>
  <c r="BL3" i="137"/>
  <c r="BJ3" i="137"/>
  <c r="BA4" i="137"/>
  <c r="X22" i="35" s="1"/>
  <c r="BA5" i="137"/>
  <c r="X28" i="35" s="1"/>
  <c r="BA6" i="137"/>
  <c r="X29" i="35" s="1"/>
  <c r="BA7" i="137"/>
  <c r="X30" i="35" s="1"/>
  <c r="BA8" i="137"/>
  <c r="X32" i="35" s="1"/>
  <c r="BA9" i="137"/>
  <c r="X39" i="35" s="1"/>
  <c r="X37" i="35" s="1"/>
  <c r="BA10" i="137"/>
  <c r="X56" i="35" s="1"/>
  <c r="BA11" i="137"/>
  <c r="X57" i="35" s="1"/>
  <c r="BA12" i="137"/>
  <c r="X59" i="35" s="1"/>
  <c r="BA3" i="137"/>
  <c r="X26" i="35" s="1"/>
  <c r="BM4" i="138"/>
  <c r="BN4" i="138"/>
  <c r="BO4" i="138"/>
  <c r="BM5" i="138"/>
  <c r="BN5" i="138"/>
  <c r="BO5" i="138"/>
  <c r="BM6" i="138"/>
  <c r="BN6" i="138"/>
  <c r="BO6" i="138"/>
  <c r="BM7" i="138"/>
  <c r="BN7" i="138"/>
  <c r="BO7" i="138"/>
  <c r="BM8" i="138"/>
  <c r="BN8" i="138"/>
  <c r="BO8" i="138"/>
  <c r="BM9" i="138"/>
  <c r="BN9" i="138"/>
  <c r="BO9" i="138"/>
  <c r="BM10" i="138"/>
  <c r="BN10" i="138"/>
  <c r="BO10" i="138"/>
  <c r="BM11" i="138"/>
  <c r="BN11" i="138"/>
  <c r="BO11" i="138"/>
  <c r="BM12" i="138"/>
  <c r="BN12" i="138"/>
  <c r="BO12" i="138"/>
  <c r="BM13" i="138"/>
  <c r="BN13" i="138"/>
  <c r="BO13" i="138"/>
  <c r="BM14" i="138"/>
  <c r="BN14" i="138"/>
  <c r="BO14" i="138"/>
  <c r="BM15" i="138"/>
  <c r="BN15" i="138"/>
  <c r="BO15" i="138"/>
  <c r="BM16" i="138"/>
  <c r="BN16" i="138"/>
  <c r="BO16" i="138"/>
  <c r="BM17" i="138"/>
  <c r="BN17" i="138"/>
  <c r="BO17" i="138"/>
  <c r="BM18" i="138"/>
  <c r="BN18" i="138"/>
  <c r="BO18" i="138"/>
  <c r="BM19" i="138"/>
  <c r="BN19" i="138"/>
  <c r="BO19" i="138"/>
  <c r="BM20" i="138"/>
  <c r="BN20" i="138"/>
  <c r="BO20" i="138"/>
  <c r="BM21" i="138"/>
  <c r="BN21" i="138"/>
  <c r="BO21" i="138"/>
  <c r="BM22" i="138"/>
  <c r="BN22" i="138"/>
  <c r="BO22" i="138"/>
  <c r="BM23" i="138"/>
  <c r="BN23" i="138"/>
  <c r="BO23" i="138"/>
  <c r="BM24" i="138"/>
  <c r="BN24" i="138"/>
  <c r="BO24" i="138"/>
  <c r="BM25" i="138"/>
  <c r="BN25" i="138"/>
  <c r="BO25" i="138"/>
  <c r="BM26" i="138"/>
  <c r="BN26" i="138"/>
  <c r="BO26" i="138"/>
  <c r="BM27" i="138"/>
  <c r="BN27" i="138"/>
  <c r="BO27" i="138"/>
  <c r="BM28" i="138"/>
  <c r="BN28" i="138"/>
  <c r="BO28" i="138"/>
  <c r="BM29" i="138"/>
  <c r="BN29" i="138"/>
  <c r="BO29" i="138"/>
  <c r="BM30" i="138"/>
  <c r="BN30" i="138"/>
  <c r="BO30" i="138"/>
  <c r="BM31" i="138"/>
  <c r="BN31" i="138"/>
  <c r="BO31" i="138"/>
  <c r="BM32" i="138"/>
  <c r="BN32" i="138"/>
  <c r="BO32" i="138"/>
  <c r="BM33" i="138"/>
  <c r="BN33" i="138"/>
  <c r="BO33" i="138"/>
  <c r="BM34" i="138"/>
  <c r="BN34" i="138"/>
  <c r="BO34" i="138"/>
  <c r="BM35" i="138"/>
  <c r="BN35" i="138"/>
  <c r="BO35" i="138"/>
  <c r="BM36" i="138"/>
  <c r="BN36" i="138"/>
  <c r="BO36" i="138"/>
  <c r="BM37" i="138"/>
  <c r="BN37" i="138"/>
  <c r="BO37" i="138"/>
  <c r="BM38" i="138"/>
  <c r="BN38" i="138"/>
  <c r="BO38" i="138"/>
  <c r="BM39" i="138"/>
  <c r="BN39" i="138"/>
  <c r="BO39" i="138"/>
  <c r="BM40" i="138"/>
  <c r="BN40" i="138"/>
  <c r="BO40" i="138"/>
  <c r="BM41" i="138"/>
  <c r="BN41" i="138"/>
  <c r="BO41" i="138"/>
  <c r="BM42" i="138"/>
  <c r="BN42" i="138"/>
  <c r="BO42" i="138"/>
  <c r="BM43" i="138"/>
  <c r="BN43" i="138"/>
  <c r="BO43" i="138"/>
  <c r="BM44" i="138"/>
  <c r="BN44" i="138"/>
  <c r="BO44" i="138"/>
  <c r="BM45" i="138"/>
  <c r="BN45" i="138"/>
  <c r="BO45" i="138"/>
  <c r="BM46" i="138"/>
  <c r="BN46" i="138"/>
  <c r="BO46" i="138"/>
  <c r="BM47" i="138"/>
  <c r="BN47" i="138"/>
  <c r="BO47" i="138"/>
  <c r="BN48" i="138"/>
  <c r="BO48" i="138"/>
  <c r="BM49" i="138"/>
  <c r="BM48" i="138" s="1"/>
  <c r="BN49" i="138"/>
  <c r="BO49" i="138"/>
  <c r="BN3" i="138"/>
  <c r="BO3" i="138"/>
  <c r="BM3" i="138"/>
  <c r="BD4" i="138"/>
  <c r="X17" i="37" s="1"/>
  <c r="BD5" i="138"/>
  <c r="X18" i="37" s="1"/>
  <c r="BD6" i="138"/>
  <c r="X44" i="37" s="1"/>
  <c r="BD7" i="138"/>
  <c r="X45" i="37" s="1"/>
  <c r="BD8" i="138"/>
  <c r="X46" i="37" s="1"/>
  <c r="BD9" i="138"/>
  <c r="X47" i="37" s="1"/>
  <c r="BD10" i="138"/>
  <c r="X49" i="37" s="1"/>
  <c r="BD11" i="138"/>
  <c r="X50" i="37" s="1"/>
  <c r="BD12" i="138"/>
  <c r="X51" i="37" s="1"/>
  <c r="BD13" i="138"/>
  <c r="X52" i="37" s="1"/>
  <c r="BD14" i="138"/>
  <c r="X54" i="37" s="1"/>
  <c r="BD15" i="138"/>
  <c r="X57" i="37" s="1"/>
  <c r="BD3" i="138"/>
  <c r="X15" i="37" s="1"/>
  <c r="AK4" i="139"/>
  <c r="AL4" i="139"/>
  <c r="AM4" i="139"/>
  <c r="AK5" i="139"/>
  <c r="AL5" i="139"/>
  <c r="AM5" i="139"/>
  <c r="AK6" i="139"/>
  <c r="AL6" i="139"/>
  <c r="AM6" i="139"/>
  <c r="AK7" i="139"/>
  <c r="AL7" i="139"/>
  <c r="AM7" i="139"/>
  <c r="AK8" i="139"/>
  <c r="AL8" i="139"/>
  <c r="AM8" i="139"/>
  <c r="AL3" i="139"/>
  <c r="AM3" i="139"/>
  <c r="AK3" i="139"/>
  <c r="AD4" i="139"/>
  <c r="AD3" i="139"/>
  <c r="W33" i="54" s="1"/>
  <c r="W32" i="54" s="1"/>
  <c r="W9" i="54" s="1"/>
  <c r="W61" i="35"/>
  <c r="W33" i="35"/>
  <c r="AR4" i="137"/>
  <c r="AS4" i="137"/>
  <c r="AT4" i="137"/>
  <c r="AR5" i="137"/>
  <c r="AS5" i="137"/>
  <c r="AT5" i="137"/>
  <c r="AR6" i="137"/>
  <c r="AS6" i="137"/>
  <c r="AT6" i="137"/>
  <c r="AR7" i="137"/>
  <c r="AS7" i="137"/>
  <c r="AT7" i="137"/>
  <c r="AR8" i="137"/>
  <c r="AS8" i="137"/>
  <c r="AT8" i="137"/>
  <c r="AR9" i="137"/>
  <c r="AS9" i="137"/>
  <c r="AT9" i="137"/>
  <c r="AR10" i="137"/>
  <c r="AS10" i="137"/>
  <c r="AT10" i="137"/>
  <c r="AR11" i="137"/>
  <c r="AS11" i="137"/>
  <c r="AT11" i="137"/>
  <c r="AR12" i="137"/>
  <c r="AS12" i="137"/>
  <c r="AT12" i="137"/>
  <c r="AR13" i="137"/>
  <c r="AS13" i="137"/>
  <c r="AT13" i="137"/>
  <c r="AR14" i="137"/>
  <c r="AS14" i="137"/>
  <c r="AT14" i="137"/>
  <c r="AR15" i="137"/>
  <c r="AS15" i="137"/>
  <c r="AT15" i="137"/>
  <c r="AR16" i="137"/>
  <c r="AS16" i="137"/>
  <c r="AT16" i="137"/>
  <c r="AR17" i="137"/>
  <c r="AS17" i="137"/>
  <c r="AT17" i="137"/>
  <c r="AR18" i="137"/>
  <c r="AS18" i="137"/>
  <c r="AT18" i="137"/>
  <c r="AR19" i="137"/>
  <c r="AS19" i="137"/>
  <c r="AT19" i="137"/>
  <c r="AR20" i="137"/>
  <c r="AS20" i="137"/>
  <c r="AT20" i="137"/>
  <c r="AR21" i="137"/>
  <c r="AS21" i="137"/>
  <c r="AT21" i="137"/>
  <c r="AR22" i="137"/>
  <c r="AS22" i="137"/>
  <c r="AT22" i="137"/>
  <c r="AR23" i="137"/>
  <c r="AS23" i="137"/>
  <c r="AT23" i="137"/>
  <c r="AR24" i="137"/>
  <c r="AS24" i="137"/>
  <c r="AT24" i="137"/>
  <c r="AR25" i="137"/>
  <c r="AS25" i="137"/>
  <c r="AT25" i="137"/>
  <c r="AR26" i="137"/>
  <c r="AS26" i="137"/>
  <c r="AT26" i="137"/>
  <c r="AR27" i="137"/>
  <c r="AS27" i="137"/>
  <c r="AT27" i="137"/>
  <c r="AR28" i="137"/>
  <c r="AS28" i="137"/>
  <c r="AT28" i="137"/>
  <c r="AR29" i="137"/>
  <c r="AS29" i="137"/>
  <c r="AT29" i="137"/>
  <c r="AR30" i="137"/>
  <c r="AS30" i="137"/>
  <c r="AT30" i="137"/>
  <c r="AR31" i="137"/>
  <c r="AS31" i="137"/>
  <c r="AT31" i="137"/>
  <c r="AR32" i="137"/>
  <c r="AS32" i="137"/>
  <c r="AT32" i="137"/>
  <c r="AR33" i="137"/>
  <c r="AS33" i="137"/>
  <c r="AT33" i="137"/>
  <c r="AR34" i="137"/>
  <c r="AS34" i="137"/>
  <c r="AT34" i="137"/>
  <c r="AR35" i="137"/>
  <c r="AS35" i="137"/>
  <c r="AT35" i="137"/>
  <c r="AR36" i="137"/>
  <c r="AS36" i="137"/>
  <c r="AT36" i="137"/>
  <c r="AR37" i="137"/>
  <c r="AS37" i="137"/>
  <c r="AT37" i="137"/>
  <c r="AR38" i="137"/>
  <c r="AS38" i="137"/>
  <c r="AT38" i="137"/>
  <c r="AR39" i="137"/>
  <c r="AS39" i="137"/>
  <c r="AT39" i="137"/>
  <c r="AR40" i="137"/>
  <c r="AS40" i="137"/>
  <c r="AT40" i="137"/>
  <c r="AR41" i="137"/>
  <c r="AS41" i="137"/>
  <c r="AT41" i="137"/>
  <c r="AR42" i="137"/>
  <c r="AS42" i="137"/>
  <c r="AT42" i="137"/>
  <c r="AR43" i="137"/>
  <c r="AS43" i="137"/>
  <c r="AT43" i="137"/>
  <c r="AR44" i="137"/>
  <c r="AS44" i="137"/>
  <c r="AT44" i="137"/>
  <c r="AR45" i="137"/>
  <c r="AS45" i="137"/>
  <c r="AT45" i="137"/>
  <c r="AR46" i="137"/>
  <c r="AS46" i="137"/>
  <c r="AT46" i="137"/>
  <c r="AR47" i="137"/>
  <c r="AS47" i="137"/>
  <c r="AT47" i="137"/>
  <c r="AR48" i="137"/>
  <c r="AS48" i="137"/>
  <c r="AT48" i="137"/>
  <c r="AS3" i="137"/>
  <c r="AT3" i="137"/>
  <c r="AR3" i="137"/>
  <c r="AI4" i="137"/>
  <c r="W22" i="35" s="1"/>
  <c r="AI5" i="137"/>
  <c r="W30" i="35" s="1"/>
  <c r="AI6" i="137"/>
  <c r="W28" i="35" s="1"/>
  <c r="AI7" i="137"/>
  <c r="W29" i="35" s="1"/>
  <c r="AI8" i="137"/>
  <c r="W32" i="35" s="1"/>
  <c r="AI9" i="137"/>
  <c r="W42" i="35" s="1"/>
  <c r="W37" i="35" s="1"/>
  <c r="AI10" i="137"/>
  <c r="W57" i="35" s="1"/>
  <c r="W55" i="35" s="1"/>
  <c r="W54" i="35" s="1"/>
  <c r="W53" i="35" s="1"/>
  <c r="AI3" i="137"/>
  <c r="W26" i="35" s="1"/>
  <c r="P209" i="39"/>
  <c r="P223" i="39"/>
  <c r="P222" i="39" s="1"/>
  <c r="P230" i="39"/>
  <c r="P234" i="39"/>
  <c r="P238" i="39"/>
  <c r="P239" i="39"/>
  <c r="P240" i="39"/>
  <c r="P241" i="39"/>
  <c r="P242" i="39"/>
  <c r="P243" i="39"/>
  <c r="P244" i="39"/>
  <c r="P245" i="39"/>
  <c r="P246" i="39"/>
  <c r="P247" i="39"/>
  <c r="P248" i="39"/>
  <c r="P249" i="39"/>
  <c r="P250" i="39"/>
  <c r="P251" i="39"/>
  <c r="P252" i="39"/>
  <c r="P253" i="39"/>
  <c r="P254" i="39"/>
  <c r="P256" i="39"/>
  <c r="P258" i="39"/>
  <c r="P259" i="39"/>
  <c r="P260" i="39"/>
  <c r="P261" i="39"/>
  <c r="P277" i="39"/>
  <c r="P279" i="39"/>
  <c r="P280" i="39"/>
  <c r="P285" i="39"/>
  <c r="P286" i="39"/>
  <c r="P287" i="39"/>
  <c r="P288" i="39"/>
  <c r="P289" i="39"/>
  <c r="P305" i="39"/>
  <c r="H209" i="39"/>
  <c r="H203" i="39" s="1"/>
  <c r="H193" i="39"/>
  <c r="G193" i="39"/>
  <c r="G167" i="4"/>
  <c r="AL4" i="136"/>
  <c r="AM4" i="136"/>
  <c r="AN4" i="136"/>
  <c r="AO4" i="136"/>
  <c r="AL5" i="136"/>
  <c r="AM5" i="136"/>
  <c r="AN5" i="136"/>
  <c r="AO5" i="136"/>
  <c r="AL6" i="136"/>
  <c r="AM6" i="136"/>
  <c r="AN6" i="136"/>
  <c r="AO6" i="136"/>
  <c r="AL7" i="136"/>
  <c r="AM7" i="136"/>
  <c r="AN7" i="136"/>
  <c r="AO7" i="136"/>
  <c r="AL8" i="136"/>
  <c r="AM8" i="136"/>
  <c r="AN8" i="136"/>
  <c r="AO8" i="136"/>
  <c r="AL9" i="136"/>
  <c r="AM9" i="136"/>
  <c r="AN9" i="136"/>
  <c r="AO9" i="136"/>
  <c r="AL10" i="136"/>
  <c r="AM10" i="136"/>
  <c r="AN10" i="136"/>
  <c r="AO10" i="136"/>
  <c r="AL11" i="136"/>
  <c r="AM11" i="136"/>
  <c r="AN11" i="136"/>
  <c r="AO11" i="136"/>
  <c r="AL12" i="136"/>
  <c r="AM12" i="136"/>
  <c r="AN12" i="136"/>
  <c r="AO12" i="136"/>
  <c r="AL13" i="136"/>
  <c r="AM13" i="136"/>
  <c r="AN13" i="136"/>
  <c r="AO13" i="136"/>
  <c r="AL14" i="136"/>
  <c r="AM14" i="136"/>
  <c r="AN14" i="136"/>
  <c r="AO14" i="136"/>
  <c r="AL15" i="136"/>
  <c r="AM15" i="136"/>
  <c r="AN15" i="136"/>
  <c r="AO15" i="136"/>
  <c r="AL16" i="136"/>
  <c r="AM16" i="136"/>
  <c r="AN16" i="136"/>
  <c r="AO16" i="136"/>
  <c r="AL17" i="136"/>
  <c r="AM17" i="136"/>
  <c r="AN17" i="136"/>
  <c r="AO17" i="136"/>
  <c r="AL18" i="136"/>
  <c r="AM18" i="136"/>
  <c r="AN18" i="136"/>
  <c r="AO18" i="136"/>
  <c r="AL19" i="136"/>
  <c r="AM19" i="136"/>
  <c r="AN19" i="136"/>
  <c r="AO19" i="136"/>
  <c r="AL20" i="136"/>
  <c r="AM20" i="136"/>
  <c r="AN20" i="136"/>
  <c r="AO20" i="136"/>
  <c r="AL21" i="136"/>
  <c r="AM21" i="136"/>
  <c r="AN21" i="136"/>
  <c r="AO21" i="136"/>
  <c r="AL22" i="136"/>
  <c r="AM22" i="136"/>
  <c r="AN22" i="136"/>
  <c r="AO22" i="136"/>
  <c r="AL23" i="136"/>
  <c r="AM23" i="136"/>
  <c r="AN23" i="136"/>
  <c r="AO23" i="136"/>
  <c r="AL24" i="136"/>
  <c r="AM24" i="136"/>
  <c r="AN24" i="136"/>
  <c r="AO24" i="136"/>
  <c r="AL25" i="136"/>
  <c r="AM25" i="136"/>
  <c r="AN25" i="136"/>
  <c r="AO25" i="136"/>
  <c r="AL26" i="136"/>
  <c r="AM26" i="136"/>
  <c r="AN26" i="136"/>
  <c r="AO26" i="136"/>
  <c r="AL27" i="136"/>
  <c r="AM27" i="136"/>
  <c r="AN27" i="136"/>
  <c r="AO27" i="136"/>
  <c r="AL28" i="136"/>
  <c r="AM28" i="136"/>
  <c r="AN28" i="136"/>
  <c r="AO28" i="136"/>
  <c r="AL29" i="136"/>
  <c r="AM29" i="136"/>
  <c r="AN29" i="136"/>
  <c r="AO29" i="136"/>
  <c r="AL30" i="136"/>
  <c r="AM30" i="136"/>
  <c r="AN30" i="136"/>
  <c r="AO30" i="136"/>
  <c r="AL31" i="136"/>
  <c r="AM31" i="136"/>
  <c r="AN31" i="136"/>
  <c r="AO31" i="136"/>
  <c r="AL32" i="136"/>
  <c r="AM32" i="136"/>
  <c r="AN32" i="136"/>
  <c r="AO32" i="136"/>
  <c r="AL33" i="136"/>
  <c r="AM33" i="136"/>
  <c r="AN33" i="136"/>
  <c r="AO33" i="136"/>
  <c r="AL34" i="136"/>
  <c r="AM34" i="136"/>
  <c r="AN34" i="136"/>
  <c r="AO34" i="136"/>
  <c r="AL35" i="136"/>
  <c r="AM35" i="136"/>
  <c r="AN35" i="136"/>
  <c r="AO35" i="136"/>
  <c r="AL36" i="136"/>
  <c r="AM36" i="136"/>
  <c r="AN36" i="136"/>
  <c r="AO36" i="136"/>
  <c r="AL37" i="136"/>
  <c r="AM37" i="136"/>
  <c r="AN37" i="136"/>
  <c r="AO37" i="136"/>
  <c r="AL38" i="136"/>
  <c r="AM38" i="136"/>
  <c r="AN38" i="136"/>
  <c r="AO38" i="136"/>
  <c r="AL39" i="136"/>
  <c r="AM39" i="136"/>
  <c r="AN39" i="136"/>
  <c r="AO39" i="136"/>
  <c r="AL40" i="136"/>
  <c r="AM40" i="136"/>
  <c r="AN40" i="136"/>
  <c r="AO40" i="136"/>
  <c r="AL41" i="136"/>
  <c r="AM41" i="136"/>
  <c r="AN41" i="136"/>
  <c r="AO41" i="136"/>
  <c r="AL42" i="136"/>
  <c r="AM42" i="136"/>
  <c r="AN42" i="136"/>
  <c r="AO42" i="136"/>
  <c r="AL43" i="136"/>
  <c r="AM43" i="136"/>
  <c r="AN43" i="136"/>
  <c r="AO43" i="136"/>
  <c r="AL44" i="136"/>
  <c r="AM44" i="136"/>
  <c r="AN44" i="136"/>
  <c r="AO44" i="136"/>
  <c r="AL45" i="136"/>
  <c r="AM45" i="136"/>
  <c r="AN45" i="136"/>
  <c r="AO45" i="136"/>
  <c r="AL46" i="136"/>
  <c r="AM46" i="136"/>
  <c r="AN46" i="136"/>
  <c r="AO46" i="136"/>
  <c r="AL47" i="136"/>
  <c r="AM47" i="136"/>
  <c r="AN47" i="136"/>
  <c r="AO47" i="136"/>
  <c r="AL48" i="136"/>
  <c r="AM48" i="136"/>
  <c r="AN48" i="136"/>
  <c r="AO48" i="136"/>
  <c r="AL49" i="136"/>
  <c r="AM49" i="136"/>
  <c r="AN49" i="136"/>
  <c r="AO49" i="136"/>
  <c r="AL50" i="136"/>
  <c r="AM50" i="136"/>
  <c r="AN50" i="136"/>
  <c r="AO50" i="136"/>
  <c r="AL51" i="136"/>
  <c r="AM51" i="136"/>
  <c r="AN51" i="136"/>
  <c r="AO51" i="136"/>
  <c r="AL52" i="136"/>
  <c r="AM52" i="136"/>
  <c r="AN52" i="136"/>
  <c r="AO52" i="136"/>
  <c r="AL53" i="136"/>
  <c r="AM53" i="136"/>
  <c r="AN53" i="136"/>
  <c r="AO53" i="136"/>
  <c r="AL54" i="136"/>
  <c r="AM54" i="136"/>
  <c r="AN54" i="136"/>
  <c r="AO54" i="136"/>
  <c r="AL55" i="136"/>
  <c r="AM55" i="136"/>
  <c r="AN55" i="136"/>
  <c r="AO55" i="136"/>
  <c r="AL56" i="136"/>
  <c r="AM56" i="136"/>
  <c r="AN56" i="136"/>
  <c r="AO56" i="136"/>
  <c r="AL57" i="136"/>
  <c r="AM57" i="136"/>
  <c r="AN57" i="136"/>
  <c r="AO57" i="136"/>
  <c r="AL58" i="136"/>
  <c r="AM58" i="136"/>
  <c r="AN58" i="136"/>
  <c r="AO58" i="136"/>
  <c r="AL59" i="136"/>
  <c r="AM59" i="136"/>
  <c r="AN59" i="136"/>
  <c r="AO59" i="136"/>
  <c r="AL60" i="136"/>
  <c r="AM60" i="136"/>
  <c r="AN60" i="136"/>
  <c r="AO60" i="136"/>
  <c r="AL61" i="136"/>
  <c r="AM61" i="136"/>
  <c r="AN61" i="136"/>
  <c r="AO61" i="136"/>
  <c r="AL62" i="136"/>
  <c r="AM62" i="136"/>
  <c r="AN62" i="136"/>
  <c r="AO62" i="136"/>
  <c r="AL63" i="136"/>
  <c r="AM63" i="136"/>
  <c r="AN63" i="136"/>
  <c r="AO63" i="136"/>
  <c r="AL64" i="136"/>
  <c r="AM64" i="136"/>
  <c r="AN64" i="136"/>
  <c r="AO64" i="136"/>
  <c r="AL65" i="136"/>
  <c r="AM65" i="136"/>
  <c r="AN65" i="136"/>
  <c r="AO65" i="136"/>
  <c r="AL66" i="136"/>
  <c r="AM66" i="136"/>
  <c r="AN66" i="136"/>
  <c r="AO66" i="136"/>
  <c r="AL67" i="136"/>
  <c r="AM67" i="136"/>
  <c r="AN67" i="136"/>
  <c r="AO67" i="136"/>
  <c r="AL68" i="136"/>
  <c r="AM68" i="136"/>
  <c r="AN68" i="136"/>
  <c r="AO68" i="136"/>
  <c r="AL69" i="136"/>
  <c r="AM69" i="136"/>
  <c r="AN69" i="136"/>
  <c r="AO69" i="136"/>
  <c r="AL70" i="136"/>
  <c r="AM70" i="136"/>
  <c r="AN70" i="136"/>
  <c r="AO70" i="136"/>
  <c r="AL71" i="136"/>
  <c r="AM71" i="136"/>
  <c r="AN71" i="136"/>
  <c r="AO71" i="136"/>
  <c r="AL72" i="136"/>
  <c r="AM72" i="136"/>
  <c r="AN72" i="136"/>
  <c r="AO72" i="136"/>
  <c r="AL73" i="136"/>
  <c r="AM73" i="136"/>
  <c r="AN73" i="136"/>
  <c r="AO73" i="136"/>
  <c r="AL74" i="136"/>
  <c r="AM74" i="136"/>
  <c r="AN74" i="136"/>
  <c r="AO74" i="136"/>
  <c r="AL75" i="136"/>
  <c r="AM75" i="136"/>
  <c r="AN75" i="136"/>
  <c r="AO75" i="136"/>
  <c r="AL76" i="136"/>
  <c r="AM76" i="136"/>
  <c r="AN76" i="136"/>
  <c r="AO76" i="136"/>
  <c r="AL77" i="136"/>
  <c r="AM77" i="136"/>
  <c r="AN77" i="136"/>
  <c r="AO77" i="136"/>
  <c r="AL78" i="136"/>
  <c r="AM78" i="136"/>
  <c r="AN78" i="136"/>
  <c r="AO78" i="136"/>
  <c r="AL79" i="136"/>
  <c r="AM79" i="136"/>
  <c r="AN79" i="136"/>
  <c r="AO79" i="136"/>
  <c r="AL80" i="136"/>
  <c r="AM80" i="136"/>
  <c r="AN80" i="136"/>
  <c r="AO80" i="136"/>
  <c r="AL81" i="136"/>
  <c r="AM81" i="136"/>
  <c r="AN81" i="136"/>
  <c r="AO81" i="136"/>
  <c r="AL82" i="136"/>
  <c r="AM82" i="136"/>
  <c r="AN82" i="136"/>
  <c r="AO82" i="136"/>
  <c r="AL83" i="136"/>
  <c r="AM83" i="136"/>
  <c r="AN83" i="136"/>
  <c r="AO83" i="136"/>
  <c r="AL84" i="136"/>
  <c r="AM84" i="136"/>
  <c r="AN84" i="136"/>
  <c r="AO84" i="136"/>
  <c r="AL85" i="136"/>
  <c r="AM85" i="136"/>
  <c r="AN85" i="136"/>
  <c r="AO85" i="136"/>
  <c r="AL86" i="136"/>
  <c r="AM86" i="136"/>
  <c r="AN86" i="136"/>
  <c r="AO86" i="136"/>
  <c r="AL87" i="136"/>
  <c r="AM87" i="136"/>
  <c r="AN87" i="136"/>
  <c r="AO87" i="136"/>
  <c r="AL88" i="136"/>
  <c r="AM88" i="136"/>
  <c r="AN88" i="136"/>
  <c r="AO88" i="136"/>
  <c r="AL89" i="136"/>
  <c r="AM89" i="136"/>
  <c r="AN89" i="136"/>
  <c r="AO89" i="136"/>
  <c r="AL90" i="136"/>
  <c r="AM90" i="136"/>
  <c r="AN90" i="136"/>
  <c r="AO90" i="136"/>
  <c r="AL91" i="136"/>
  <c r="AM91" i="136"/>
  <c r="AN91" i="136"/>
  <c r="AO91" i="136"/>
  <c r="AL92" i="136"/>
  <c r="AM92" i="136"/>
  <c r="AN92" i="136"/>
  <c r="AO92" i="136"/>
  <c r="AL93" i="136"/>
  <c r="AM93" i="136"/>
  <c r="AN93" i="136"/>
  <c r="AO93" i="136"/>
  <c r="AL94" i="136"/>
  <c r="AM94" i="136"/>
  <c r="AN94" i="136"/>
  <c r="AO94" i="136"/>
  <c r="AL95" i="136"/>
  <c r="AM95" i="136"/>
  <c r="AN95" i="136"/>
  <c r="AO95" i="136"/>
  <c r="AL96" i="136"/>
  <c r="AM96" i="136"/>
  <c r="AN96" i="136"/>
  <c r="AO96" i="136"/>
  <c r="AL97" i="136"/>
  <c r="AM97" i="136"/>
  <c r="AN97" i="136"/>
  <c r="AO97" i="136"/>
  <c r="AL98" i="136"/>
  <c r="AM98" i="136"/>
  <c r="AN98" i="136"/>
  <c r="AO98" i="136"/>
  <c r="AL99" i="136"/>
  <c r="AM99" i="136"/>
  <c r="AN99" i="136"/>
  <c r="AO99" i="136"/>
  <c r="AL100" i="136"/>
  <c r="AM100" i="136"/>
  <c r="AN100" i="136"/>
  <c r="AO100" i="136"/>
  <c r="AL101" i="136"/>
  <c r="AM101" i="136"/>
  <c r="AN101" i="136"/>
  <c r="AO101" i="136"/>
  <c r="AL102" i="136"/>
  <c r="AM102" i="136"/>
  <c r="AN102" i="136"/>
  <c r="AO102" i="136"/>
  <c r="AL103" i="136"/>
  <c r="AM103" i="136"/>
  <c r="AN103" i="136"/>
  <c r="AO103" i="136"/>
  <c r="AL104" i="136"/>
  <c r="AM104" i="136"/>
  <c r="AN104" i="136"/>
  <c r="AO104" i="136"/>
  <c r="AL105" i="136"/>
  <c r="AM105" i="136"/>
  <c r="AN105" i="136"/>
  <c r="AO105" i="136"/>
  <c r="AL106" i="136"/>
  <c r="AM106" i="136"/>
  <c r="AN106" i="136"/>
  <c r="AO106" i="136"/>
  <c r="AL107" i="136"/>
  <c r="AM107" i="136"/>
  <c r="AN107" i="136"/>
  <c r="AO107" i="136"/>
  <c r="AL108" i="136"/>
  <c r="AM108" i="136"/>
  <c r="AN108" i="136"/>
  <c r="AO108" i="136"/>
  <c r="AL109" i="136"/>
  <c r="AM109" i="136"/>
  <c r="AN109" i="136"/>
  <c r="AO109" i="136"/>
  <c r="AL110" i="136"/>
  <c r="AM110" i="136"/>
  <c r="AN110" i="136"/>
  <c r="AO110" i="136"/>
  <c r="AL111" i="136"/>
  <c r="AM111" i="136"/>
  <c r="AN111" i="136"/>
  <c r="AO111" i="136"/>
  <c r="AL112" i="136"/>
  <c r="AM112" i="136"/>
  <c r="AN112" i="136"/>
  <c r="AO112" i="136"/>
  <c r="AL113" i="136"/>
  <c r="AM113" i="136"/>
  <c r="AN113" i="136"/>
  <c r="AO113" i="136"/>
  <c r="AL114" i="136"/>
  <c r="AM114" i="136"/>
  <c r="AN114" i="136"/>
  <c r="AO114" i="136"/>
  <c r="AL115" i="136"/>
  <c r="AM115" i="136"/>
  <c r="AN115" i="136"/>
  <c r="AO115" i="136"/>
  <c r="AL116" i="136"/>
  <c r="AM116" i="136"/>
  <c r="AN116" i="136"/>
  <c r="AO116" i="136"/>
  <c r="AL117" i="136"/>
  <c r="AM117" i="136"/>
  <c r="AN117" i="136"/>
  <c r="AO117" i="136"/>
  <c r="AL118" i="136"/>
  <c r="AM118" i="136"/>
  <c r="AN118" i="136"/>
  <c r="AO118" i="136"/>
  <c r="AL119" i="136"/>
  <c r="AM119" i="136"/>
  <c r="AN119" i="136"/>
  <c r="AO119" i="136"/>
  <c r="AL120" i="136"/>
  <c r="AM120" i="136"/>
  <c r="AN120" i="136"/>
  <c r="AO120" i="136"/>
  <c r="AL121" i="136"/>
  <c r="AM121" i="136"/>
  <c r="AN121" i="136"/>
  <c r="AO121" i="136"/>
  <c r="AL122" i="136"/>
  <c r="AM122" i="136"/>
  <c r="AN122" i="136"/>
  <c r="AO122" i="136"/>
  <c r="AL123" i="136"/>
  <c r="AM123" i="136"/>
  <c r="AN123" i="136"/>
  <c r="AO123" i="136"/>
  <c r="AL124" i="136"/>
  <c r="AM124" i="136"/>
  <c r="AN124" i="136"/>
  <c r="AO124" i="136"/>
  <c r="AL125" i="136"/>
  <c r="AM125" i="136"/>
  <c r="AN125" i="136"/>
  <c r="AO125" i="136"/>
  <c r="AL126" i="136"/>
  <c r="AM126" i="136"/>
  <c r="AN126" i="136"/>
  <c r="AO126" i="136"/>
  <c r="AL127" i="136"/>
  <c r="AM127" i="136"/>
  <c r="AN127" i="136"/>
  <c r="AO127" i="136"/>
  <c r="AL128" i="136"/>
  <c r="AM128" i="136"/>
  <c r="AN128" i="136"/>
  <c r="AO128" i="136"/>
  <c r="AL129" i="136"/>
  <c r="AM129" i="136"/>
  <c r="AN129" i="136"/>
  <c r="AO129" i="136"/>
  <c r="AL130" i="136"/>
  <c r="AM130" i="136"/>
  <c r="AN130" i="136"/>
  <c r="AO130" i="136"/>
  <c r="N193" i="39" s="1"/>
  <c r="O193" i="39" s="1"/>
  <c r="AL131" i="136"/>
  <c r="AM131" i="136"/>
  <c r="AN131" i="136"/>
  <c r="AO131" i="136"/>
  <c r="AL132" i="136"/>
  <c r="AM132" i="136"/>
  <c r="AN132" i="136"/>
  <c r="AO132" i="136"/>
  <c r="AL133" i="136"/>
  <c r="AM133" i="136"/>
  <c r="AN133" i="136"/>
  <c r="AO133" i="136"/>
  <c r="AL134" i="136"/>
  <c r="AM134" i="136"/>
  <c r="AN134" i="136"/>
  <c r="AO134" i="136"/>
  <c r="AL135" i="136"/>
  <c r="AM135" i="136"/>
  <c r="AN135" i="136"/>
  <c r="AO135" i="136"/>
  <c r="AL136" i="136"/>
  <c r="AM136" i="136"/>
  <c r="AN136" i="136"/>
  <c r="AO136" i="136"/>
  <c r="AL137" i="136"/>
  <c r="AM137" i="136"/>
  <c r="AN137" i="136"/>
  <c r="AO137" i="136"/>
  <c r="AL138" i="136"/>
  <c r="AM138" i="136"/>
  <c r="AN138" i="136"/>
  <c r="AO138" i="136"/>
  <c r="AL139" i="136"/>
  <c r="AM139" i="136"/>
  <c r="AN139" i="136"/>
  <c r="AO139" i="136"/>
  <c r="AL140" i="136"/>
  <c r="AM140" i="136"/>
  <c r="AN140" i="136"/>
  <c r="AO140" i="136"/>
  <c r="AL141" i="136"/>
  <c r="AM141" i="136"/>
  <c r="AN141" i="136"/>
  <c r="AO141" i="136"/>
  <c r="AL142" i="136"/>
  <c r="AM142" i="136"/>
  <c r="AN142" i="136"/>
  <c r="AO142" i="136"/>
  <c r="AL143" i="136"/>
  <c r="AM143" i="136"/>
  <c r="AN143" i="136"/>
  <c r="AO143" i="136"/>
  <c r="AL144" i="136"/>
  <c r="AM144" i="136"/>
  <c r="AN144" i="136"/>
  <c r="AO144" i="136"/>
  <c r="AL145" i="136"/>
  <c r="AM145" i="136"/>
  <c r="AN145" i="136"/>
  <c r="AO145" i="136"/>
  <c r="AL146" i="136"/>
  <c r="AM146" i="136"/>
  <c r="AN146" i="136"/>
  <c r="AO146" i="136"/>
  <c r="AL147" i="136"/>
  <c r="AM147" i="136"/>
  <c r="AN147" i="136"/>
  <c r="AO147" i="136"/>
  <c r="AL148" i="136"/>
  <c r="AM148" i="136"/>
  <c r="AN148" i="136"/>
  <c r="AO148" i="136"/>
  <c r="AL149" i="136"/>
  <c r="AM149" i="136"/>
  <c r="AN149" i="136"/>
  <c r="AO149" i="136"/>
  <c r="AL150" i="136"/>
  <c r="AM150" i="136"/>
  <c r="AN150" i="136"/>
  <c r="AO150" i="136"/>
  <c r="AL151" i="136"/>
  <c r="AM151" i="136"/>
  <c r="AN151" i="136"/>
  <c r="AO151" i="136"/>
  <c r="AL152" i="136"/>
  <c r="AM152" i="136"/>
  <c r="AN152" i="136"/>
  <c r="AO152" i="136"/>
  <c r="AL153" i="136"/>
  <c r="AM153" i="136"/>
  <c r="AN153" i="136"/>
  <c r="AO153" i="136"/>
  <c r="AL154" i="136"/>
  <c r="AM154" i="136"/>
  <c r="AN154" i="136"/>
  <c r="AO154" i="136"/>
  <c r="AL155" i="136"/>
  <c r="AM155" i="136"/>
  <c r="AN155" i="136"/>
  <c r="AO155" i="136"/>
  <c r="AL156" i="136"/>
  <c r="AM156" i="136"/>
  <c r="AN156" i="136"/>
  <c r="AO156" i="136"/>
  <c r="AM3" i="136"/>
  <c r="AN3" i="136"/>
  <c r="AO3" i="136"/>
  <c r="AL3" i="136"/>
  <c r="AE3" i="136"/>
  <c r="X10" i="4" s="1"/>
  <c r="AE4" i="136"/>
  <c r="X11" i="4" s="1"/>
  <c r="AE5" i="136"/>
  <c r="X12" i="4" s="1"/>
  <c r="AE6" i="136"/>
  <c r="X13" i="4" s="1"/>
  <c r="AE7" i="136"/>
  <c r="X14" i="4" s="1"/>
  <c r="AE8" i="136"/>
  <c r="X15" i="4" s="1"/>
  <c r="AE9" i="136"/>
  <c r="X17" i="4" s="1"/>
  <c r="AE10" i="136"/>
  <c r="X18" i="4" s="1"/>
  <c r="AE11" i="136"/>
  <c r="X19" i="4" s="1"/>
  <c r="AE12" i="136"/>
  <c r="X20" i="4" s="1"/>
  <c r="AE13" i="136"/>
  <c r="X21" i="4" s="1"/>
  <c r="AE14" i="136"/>
  <c r="X22" i="4" s="1"/>
  <c r="AE15" i="136"/>
  <c r="X23" i="4" s="1"/>
  <c r="AE16" i="136"/>
  <c r="X26" i="4" s="1"/>
  <c r="AE17" i="136"/>
  <c r="X28" i="4" s="1"/>
  <c r="AE18" i="136"/>
  <c r="X29" i="4" s="1"/>
  <c r="AE19" i="136"/>
  <c r="X30" i="4" s="1"/>
  <c r="AE20" i="136"/>
  <c r="X31" i="4" s="1"/>
  <c r="AE21" i="136"/>
  <c r="X33" i="4" s="1"/>
  <c r="AE22" i="136"/>
  <c r="X34" i="4" s="1"/>
  <c r="AE23" i="136"/>
  <c r="X36" i="4" s="1"/>
  <c r="AE24" i="136"/>
  <c r="X38" i="4" s="1"/>
  <c r="AE25" i="136"/>
  <c r="X40" i="4" s="1"/>
  <c r="AE26" i="136"/>
  <c r="X42" i="4" s="1"/>
  <c r="AE27" i="136"/>
  <c r="X43" i="4" s="1"/>
  <c r="AE28" i="136"/>
  <c r="X44" i="4" s="1"/>
  <c r="AE29" i="136"/>
  <c r="AE30" i="136"/>
  <c r="X46" i="4" s="1"/>
  <c r="AE31" i="136"/>
  <c r="X47" i="4" s="1"/>
  <c r="AE32" i="136"/>
  <c r="X49" i="4" s="1"/>
  <c r="AE33" i="136"/>
  <c r="AE34" i="136"/>
  <c r="X51" i="4" s="1"/>
  <c r="AE35" i="136"/>
  <c r="X52" i="4" s="1"/>
  <c r="AE36" i="136"/>
  <c r="X53" i="4" s="1"/>
  <c r="AE37" i="136"/>
  <c r="X54" i="4" s="1"/>
  <c r="AE38" i="136"/>
  <c r="X57" i="4" s="1"/>
  <c r="AE39" i="136"/>
  <c r="X59" i="4" s="1"/>
  <c r="AE40" i="136"/>
  <c r="X60" i="4" s="1"/>
  <c r="AE41" i="136"/>
  <c r="X61" i="4" s="1"/>
  <c r="AE42" i="136"/>
  <c r="X62" i="4" s="1"/>
  <c r="AE43" i="136"/>
  <c r="X64" i="4" s="1"/>
  <c r="AE44" i="136"/>
  <c r="X65" i="4" s="1"/>
  <c r="AE45" i="136"/>
  <c r="AE46" i="136"/>
  <c r="X67" i="4" s="1"/>
  <c r="AE47" i="136"/>
  <c r="X69" i="4" s="1"/>
  <c r="AE48" i="136"/>
  <c r="X71" i="4" s="1"/>
  <c r="AE49" i="136"/>
  <c r="X73" i="4" s="1"/>
  <c r="AE50" i="136"/>
  <c r="X74" i="4" s="1"/>
  <c r="AE51" i="136"/>
  <c r="X75" i="4" s="1"/>
  <c r="AE52" i="136"/>
  <c r="X76" i="4" s="1"/>
  <c r="AE53" i="136"/>
  <c r="X77" i="4" s="1"/>
  <c r="AE54" i="136"/>
  <c r="X80" i="4" s="1"/>
  <c r="AE55" i="136"/>
  <c r="X83" i="4" s="1"/>
  <c r="AE56" i="136"/>
  <c r="X85" i="4" s="1"/>
  <c r="AE57" i="136"/>
  <c r="X89" i="4" s="1"/>
  <c r="AE58" i="136"/>
  <c r="X95" i="4" s="1"/>
  <c r="AE59" i="136"/>
  <c r="X97" i="4" s="1"/>
  <c r="AE60" i="136"/>
  <c r="X101" i="4" s="1"/>
  <c r="AE61" i="136"/>
  <c r="X102" i="4" s="1"/>
  <c r="AE62" i="136"/>
  <c r="X103" i="4" s="1"/>
  <c r="AE63" i="136"/>
  <c r="X104" i="4" s="1"/>
  <c r="AE64" i="136"/>
  <c r="X105" i="4" s="1"/>
  <c r="AE65" i="136"/>
  <c r="X106" i="4" s="1"/>
  <c r="AE66" i="136"/>
  <c r="X107" i="4" s="1"/>
  <c r="AE67" i="136"/>
  <c r="X108" i="4" s="1"/>
  <c r="AE68" i="136"/>
  <c r="X110" i="4" s="1"/>
  <c r="AE69" i="136"/>
  <c r="X111" i="4" s="1"/>
  <c r="AE70" i="136"/>
  <c r="X112" i="4" s="1"/>
  <c r="AE71" i="136"/>
  <c r="X114" i="4" s="1"/>
  <c r="AE72" i="136"/>
  <c r="X118" i="4" s="1"/>
  <c r="AE73" i="136"/>
  <c r="X120" i="4" s="1"/>
  <c r="AE74" i="136"/>
  <c r="X121" i="4" s="1"/>
  <c r="AE75" i="136"/>
  <c r="X122" i="4" s="1"/>
  <c r="AE76" i="136"/>
  <c r="X123" i="4" s="1"/>
  <c r="AE77" i="136"/>
  <c r="X124" i="4" s="1"/>
  <c r="AE78" i="136"/>
  <c r="X125" i="4" s="1"/>
  <c r="AE79" i="136"/>
  <c r="X127" i="4" s="1"/>
  <c r="AE80" i="136"/>
  <c r="X128" i="4" s="1"/>
  <c r="AE81" i="136"/>
  <c r="X129" i="4" s="1"/>
  <c r="AE82" i="136"/>
  <c r="X130" i="4" s="1"/>
  <c r="AE83" i="136"/>
  <c r="X131" i="4" s="1"/>
  <c r="AE84" i="136"/>
  <c r="X132" i="4" s="1"/>
  <c r="AE85" i="136"/>
  <c r="X133" i="4" s="1"/>
  <c r="AE86" i="136"/>
  <c r="X135" i="4" s="1"/>
  <c r="AE87" i="136"/>
  <c r="X136" i="4" s="1"/>
  <c r="AE88" i="136"/>
  <c r="X137" i="4" s="1"/>
  <c r="AE89" i="136"/>
  <c r="X139" i="4" s="1"/>
  <c r="AE90" i="136"/>
  <c r="X140" i="4" s="1"/>
  <c r="AE91" i="136"/>
  <c r="X142" i="4" s="1"/>
  <c r="AE92" i="136"/>
  <c r="X144" i="4" s="1"/>
  <c r="AE93" i="136"/>
  <c r="X145" i="4" s="1"/>
  <c r="AE94" i="136"/>
  <c r="X153" i="4" s="1"/>
  <c r="AE95" i="136"/>
  <c r="X162" i="4" s="1"/>
  <c r="AE96" i="136"/>
  <c r="X169" i="4" s="1"/>
  <c r="AE97" i="136"/>
  <c r="AE98" i="136"/>
  <c r="X183" i="4" s="1"/>
  <c r="AE99" i="136"/>
  <c r="X184" i="4" s="1"/>
  <c r="AE100" i="136"/>
  <c r="X200" i="4" s="1"/>
  <c r="AE101" i="136"/>
  <c r="X201" i="4" s="1"/>
  <c r="AE102" i="136"/>
  <c r="X202" i="4" s="1"/>
  <c r="AE103" i="136"/>
  <c r="X203" i="4" s="1"/>
  <c r="AE104" i="136"/>
  <c r="X204" i="4" s="1"/>
  <c r="AE105" i="136"/>
  <c r="AE106" i="136"/>
  <c r="X205" i="4" s="1"/>
  <c r="AE107" i="136"/>
  <c r="AE108" i="136"/>
  <c r="AE109" i="136"/>
  <c r="X207" i="4" s="1"/>
  <c r="P206" i="39"/>
  <c r="P307" i="39"/>
  <c r="R307" i="39" s="1"/>
  <c r="AU4" i="138"/>
  <c r="AV4" i="138"/>
  <c r="AW4" i="138"/>
  <c r="AU5" i="138"/>
  <c r="AV5" i="138"/>
  <c r="AW5" i="138"/>
  <c r="AU6" i="138"/>
  <c r="AV6" i="138"/>
  <c r="AW6" i="138"/>
  <c r="AU7" i="138"/>
  <c r="AV7" i="138"/>
  <c r="AW7" i="138"/>
  <c r="AU8" i="138"/>
  <c r="AV8" i="138"/>
  <c r="AW8" i="138"/>
  <c r="AU9" i="138"/>
  <c r="AV9" i="138"/>
  <c r="AW9" i="138"/>
  <c r="AU10" i="138"/>
  <c r="AV10" i="138"/>
  <c r="AW10" i="138"/>
  <c r="AU11" i="138"/>
  <c r="AV11" i="138"/>
  <c r="AW11" i="138"/>
  <c r="AU12" i="138"/>
  <c r="AV12" i="138"/>
  <c r="AW12" i="138"/>
  <c r="AU13" i="138"/>
  <c r="AV13" i="138"/>
  <c r="AW13" i="138"/>
  <c r="AU14" i="138"/>
  <c r="AV14" i="138"/>
  <c r="AW14" i="138"/>
  <c r="AU15" i="138"/>
  <c r="AV15" i="138"/>
  <c r="AW15" i="138"/>
  <c r="AU16" i="138"/>
  <c r="AV16" i="138"/>
  <c r="AW16" i="138"/>
  <c r="AU17" i="138"/>
  <c r="AV17" i="138"/>
  <c r="AW17" i="138"/>
  <c r="AU18" i="138"/>
  <c r="AV18" i="138"/>
  <c r="AW18" i="138"/>
  <c r="AU19" i="138"/>
  <c r="AV19" i="138"/>
  <c r="AW19" i="138"/>
  <c r="AU20" i="138"/>
  <c r="AV20" i="138"/>
  <c r="AW20" i="138"/>
  <c r="AU21" i="138"/>
  <c r="AV21" i="138"/>
  <c r="AW21" i="138"/>
  <c r="AU22" i="138"/>
  <c r="AV22" i="138"/>
  <c r="AW22" i="138"/>
  <c r="AU23" i="138"/>
  <c r="AV23" i="138"/>
  <c r="AW23" i="138"/>
  <c r="AU24" i="138"/>
  <c r="AV24" i="138"/>
  <c r="AW24" i="138"/>
  <c r="AU25" i="138"/>
  <c r="AV25" i="138"/>
  <c r="AW25" i="138"/>
  <c r="AU26" i="138"/>
  <c r="AV26" i="138"/>
  <c r="AW26" i="138"/>
  <c r="AU27" i="138"/>
  <c r="AV27" i="138"/>
  <c r="AW27" i="138"/>
  <c r="AU28" i="138"/>
  <c r="AV28" i="138"/>
  <c r="AW28" i="138"/>
  <c r="AU29" i="138"/>
  <c r="AV29" i="138"/>
  <c r="AW29" i="138"/>
  <c r="AU30" i="138"/>
  <c r="AV30" i="138"/>
  <c r="AW30" i="138"/>
  <c r="AU31" i="138"/>
  <c r="AV31" i="138"/>
  <c r="AW31" i="138"/>
  <c r="AU32" i="138"/>
  <c r="AV32" i="138"/>
  <c r="AW32" i="138"/>
  <c r="AU33" i="138"/>
  <c r="AV33" i="138"/>
  <c r="AW33" i="138"/>
  <c r="AU34" i="138"/>
  <c r="AV34" i="138"/>
  <c r="AW34" i="138"/>
  <c r="AU35" i="138"/>
  <c r="AV35" i="138"/>
  <c r="AW35" i="138"/>
  <c r="AU36" i="138"/>
  <c r="AV36" i="138"/>
  <c r="AW36" i="138"/>
  <c r="AU37" i="138"/>
  <c r="AV37" i="138"/>
  <c r="AW37" i="138"/>
  <c r="AU38" i="138"/>
  <c r="AV38" i="138"/>
  <c r="AW38" i="138"/>
  <c r="AU39" i="138"/>
  <c r="AV39" i="138"/>
  <c r="AW39" i="138"/>
  <c r="AU40" i="138"/>
  <c r="AV40" i="138"/>
  <c r="AW40" i="138"/>
  <c r="AU41" i="138"/>
  <c r="AV41" i="138"/>
  <c r="AW41" i="138"/>
  <c r="AU42" i="138"/>
  <c r="AV42" i="138"/>
  <c r="AW42" i="138"/>
  <c r="AU43" i="138"/>
  <c r="AV43" i="138"/>
  <c r="AW43" i="138"/>
  <c r="AU44" i="138"/>
  <c r="AV44" i="138"/>
  <c r="AW44" i="138"/>
  <c r="AU45" i="138"/>
  <c r="AV45" i="138"/>
  <c r="AW45" i="138"/>
  <c r="AU46" i="138"/>
  <c r="AV46" i="138"/>
  <c r="AW46" i="138"/>
  <c r="AV3" i="138"/>
  <c r="AW3" i="138"/>
  <c r="AU3" i="138"/>
  <c r="AK4" i="138"/>
  <c r="AK5" i="138"/>
  <c r="W18" i="37" s="1"/>
  <c r="AK6" i="138"/>
  <c r="W17" i="37" s="1"/>
  <c r="AK7" i="138"/>
  <c r="W44" i="37" s="1"/>
  <c r="AK8" i="138"/>
  <c r="W45" i="37" s="1"/>
  <c r="AK9" i="138"/>
  <c r="W47" i="37" s="1"/>
  <c r="AK10" i="138"/>
  <c r="W49" i="37" s="1"/>
  <c r="AK11" i="138"/>
  <c r="W51" i="37" s="1"/>
  <c r="AK12" i="138"/>
  <c r="W52" i="37" s="1"/>
  <c r="AK13" i="138"/>
  <c r="W54" i="37" s="1"/>
  <c r="AK14" i="138"/>
  <c r="W57" i="37" s="1"/>
  <c r="AK3" i="138"/>
  <c r="Q68" i="54" l="1"/>
  <c r="Q69" i="54"/>
  <c r="Q65" i="54"/>
  <c r="Q66" i="54"/>
  <c r="Q67" i="54"/>
  <c r="W16" i="37"/>
  <c r="X16" i="37"/>
  <c r="BA153" i="136"/>
  <c r="W21" i="35"/>
  <c r="X27" i="35"/>
  <c r="X48" i="37"/>
  <c r="X21" i="35"/>
  <c r="X55" i="35"/>
  <c r="X54" i="35" s="1"/>
  <c r="X53" i="35" s="1"/>
  <c r="X43" i="37"/>
  <c r="Y9" i="4"/>
  <c r="X182" i="4"/>
  <c r="X9" i="4" s="1"/>
  <c r="X45" i="4"/>
  <c r="X50" i="4"/>
  <c r="X66" i="4"/>
  <c r="AW47" i="138"/>
  <c r="AU47" i="138"/>
  <c r="AK15" i="138"/>
  <c r="N209" i="39"/>
  <c r="O209" i="39" s="1"/>
  <c r="W27" i="35"/>
  <c r="W15" i="37"/>
  <c r="AV47" i="138"/>
  <c r="W48" i="37"/>
  <c r="W43" i="37"/>
  <c r="X3" i="136"/>
  <c r="X4" i="136"/>
  <c r="Y4" i="136"/>
  <c r="Z4" i="136"/>
  <c r="AA4" i="136"/>
  <c r="X5" i="136"/>
  <c r="Y5" i="136"/>
  <c r="Z5" i="136"/>
  <c r="AA5" i="136"/>
  <c r="X6" i="136"/>
  <c r="Y6" i="136"/>
  <c r="Z6" i="136"/>
  <c r="AA6" i="136"/>
  <c r="X7" i="136"/>
  <c r="Y7" i="136"/>
  <c r="Z7" i="136"/>
  <c r="AA7" i="136"/>
  <c r="X8" i="136"/>
  <c r="Y8" i="136"/>
  <c r="Z8" i="136"/>
  <c r="AA8" i="136"/>
  <c r="X9" i="136"/>
  <c r="Y9" i="136"/>
  <c r="Z9" i="136"/>
  <c r="AA9" i="136"/>
  <c r="X10" i="136"/>
  <c r="Y10" i="136"/>
  <c r="Z10" i="136"/>
  <c r="AA10" i="136"/>
  <c r="X11" i="136"/>
  <c r="Y11" i="136"/>
  <c r="Z11" i="136"/>
  <c r="AA11" i="136"/>
  <c r="X12" i="136"/>
  <c r="Y12" i="136"/>
  <c r="Z12" i="136"/>
  <c r="AA12" i="136"/>
  <c r="X13" i="136"/>
  <c r="Y13" i="136"/>
  <c r="Z13" i="136"/>
  <c r="AA13" i="136"/>
  <c r="X14" i="136"/>
  <c r="Y14" i="136"/>
  <c r="Z14" i="136"/>
  <c r="AA14" i="136"/>
  <c r="X15" i="136"/>
  <c r="Y15" i="136"/>
  <c r="Z15" i="136"/>
  <c r="AA15" i="136"/>
  <c r="X16" i="136"/>
  <c r="Y16" i="136"/>
  <c r="Z16" i="136"/>
  <c r="AA16" i="136"/>
  <c r="X17" i="136"/>
  <c r="Y17" i="136"/>
  <c r="Z17" i="136"/>
  <c r="AA17" i="136"/>
  <c r="X18" i="136"/>
  <c r="Y18" i="136"/>
  <c r="Z18" i="136"/>
  <c r="AA18" i="136"/>
  <c r="X19" i="136"/>
  <c r="Y19" i="136"/>
  <c r="Z19" i="136"/>
  <c r="AA19" i="136"/>
  <c r="X20" i="136"/>
  <c r="Y20" i="136"/>
  <c r="Z20" i="136"/>
  <c r="AA20" i="136"/>
  <c r="X21" i="136"/>
  <c r="Y21" i="136"/>
  <c r="Z21" i="136"/>
  <c r="AA21" i="136"/>
  <c r="X22" i="136"/>
  <c r="Y22" i="136"/>
  <c r="Z22" i="136"/>
  <c r="AA22" i="136"/>
  <c r="X23" i="136"/>
  <c r="Y23" i="136"/>
  <c r="Z23" i="136"/>
  <c r="AA23" i="136"/>
  <c r="X24" i="136"/>
  <c r="Y24" i="136"/>
  <c r="Z24" i="136"/>
  <c r="AA24" i="136"/>
  <c r="X25" i="136"/>
  <c r="Y25" i="136"/>
  <c r="Z25" i="136"/>
  <c r="AA25" i="136"/>
  <c r="X26" i="136"/>
  <c r="Y26" i="136"/>
  <c r="Z26" i="136"/>
  <c r="AA26" i="136"/>
  <c r="X27" i="136"/>
  <c r="Y27" i="136"/>
  <c r="Z27" i="136"/>
  <c r="AA27" i="136"/>
  <c r="X28" i="136"/>
  <c r="Y28" i="136"/>
  <c r="Z28" i="136"/>
  <c r="AA28" i="136"/>
  <c r="X29" i="136"/>
  <c r="Y29" i="136"/>
  <c r="Z29" i="136"/>
  <c r="AA29" i="136"/>
  <c r="X30" i="136"/>
  <c r="Y30" i="136"/>
  <c r="Z30" i="136"/>
  <c r="AA30" i="136"/>
  <c r="X31" i="136"/>
  <c r="Y31" i="136"/>
  <c r="Z31" i="136"/>
  <c r="AA31" i="136"/>
  <c r="X32" i="136"/>
  <c r="Y32" i="136"/>
  <c r="Z32" i="136"/>
  <c r="AA32" i="136"/>
  <c r="X33" i="136"/>
  <c r="Y33" i="136"/>
  <c r="Z33" i="136"/>
  <c r="AA33" i="136"/>
  <c r="X34" i="136"/>
  <c r="Y34" i="136"/>
  <c r="Z34" i="136"/>
  <c r="AA34" i="136"/>
  <c r="X35" i="136"/>
  <c r="Y35" i="136"/>
  <c r="Z35" i="136"/>
  <c r="AA35" i="136"/>
  <c r="X36" i="136"/>
  <c r="Y36" i="136"/>
  <c r="Z36" i="136"/>
  <c r="AA36" i="136"/>
  <c r="X37" i="136"/>
  <c r="Y37" i="136"/>
  <c r="Z37" i="136"/>
  <c r="AA37" i="136"/>
  <c r="X38" i="136"/>
  <c r="Y38" i="136"/>
  <c r="Z38" i="136"/>
  <c r="AA38" i="136"/>
  <c r="X39" i="136"/>
  <c r="Y39" i="136"/>
  <c r="Z39" i="136"/>
  <c r="AA39" i="136"/>
  <c r="X40" i="136"/>
  <c r="Y40" i="136"/>
  <c r="Z40" i="136"/>
  <c r="AA40" i="136"/>
  <c r="X41" i="136"/>
  <c r="Y41" i="136"/>
  <c r="Z41" i="136"/>
  <c r="AA41" i="136"/>
  <c r="X42" i="136"/>
  <c r="Y42" i="136"/>
  <c r="Z42" i="136"/>
  <c r="AA42" i="136"/>
  <c r="X43" i="136"/>
  <c r="Y43" i="136"/>
  <c r="Z43" i="136"/>
  <c r="AA43" i="136"/>
  <c r="X44" i="136"/>
  <c r="Y44" i="136"/>
  <c r="Z44" i="136"/>
  <c r="AA44" i="136"/>
  <c r="X45" i="136"/>
  <c r="Y45" i="136"/>
  <c r="Z45" i="136"/>
  <c r="AA45" i="136"/>
  <c r="X46" i="136"/>
  <c r="Y46" i="136"/>
  <c r="Z46" i="136"/>
  <c r="AA46" i="136"/>
  <c r="X47" i="136"/>
  <c r="Y47" i="136"/>
  <c r="Z47" i="136"/>
  <c r="AA47" i="136"/>
  <c r="X48" i="136"/>
  <c r="Y48" i="136"/>
  <c r="Z48" i="136"/>
  <c r="AA48" i="136"/>
  <c r="X49" i="136"/>
  <c r="Y49" i="136"/>
  <c r="Z49" i="136"/>
  <c r="AA49" i="136"/>
  <c r="X50" i="136"/>
  <c r="Y50" i="136"/>
  <c r="Z50" i="136"/>
  <c r="AA50" i="136"/>
  <c r="X51" i="136"/>
  <c r="Y51" i="136"/>
  <c r="Z51" i="136"/>
  <c r="AA51" i="136"/>
  <c r="X52" i="136"/>
  <c r="Y52" i="136"/>
  <c r="Z52" i="136"/>
  <c r="AA52" i="136"/>
  <c r="X53" i="136"/>
  <c r="Y53" i="136"/>
  <c r="Z53" i="136"/>
  <c r="AA53" i="136"/>
  <c r="X54" i="136"/>
  <c r="Y54" i="136"/>
  <c r="Z54" i="136"/>
  <c r="AA54" i="136"/>
  <c r="X55" i="136"/>
  <c r="Y55" i="136"/>
  <c r="Z55" i="136"/>
  <c r="AA55" i="136"/>
  <c r="X56" i="136"/>
  <c r="Y56" i="136"/>
  <c r="Z56" i="136"/>
  <c r="AA56" i="136"/>
  <c r="X57" i="136"/>
  <c r="Y57" i="136"/>
  <c r="Z57" i="136"/>
  <c r="AA57" i="136"/>
  <c r="X58" i="136"/>
  <c r="Y58" i="136"/>
  <c r="Z58" i="136"/>
  <c r="AA58" i="136"/>
  <c r="X59" i="136"/>
  <c r="Y59" i="136"/>
  <c r="Z59" i="136"/>
  <c r="AA59" i="136"/>
  <c r="X60" i="136"/>
  <c r="Y60" i="136"/>
  <c r="Z60" i="136"/>
  <c r="AA60" i="136"/>
  <c r="X61" i="136"/>
  <c r="Y61" i="136"/>
  <c r="Z61" i="136"/>
  <c r="AA61" i="136"/>
  <c r="X62" i="136"/>
  <c r="Y62" i="136"/>
  <c r="Z62" i="136"/>
  <c r="AA62" i="136"/>
  <c r="X63" i="136"/>
  <c r="Y63" i="136"/>
  <c r="Z63" i="136"/>
  <c r="AA63" i="136"/>
  <c r="X64" i="136"/>
  <c r="Y64" i="136"/>
  <c r="Z64" i="136"/>
  <c r="AA64" i="136"/>
  <c r="X65" i="136"/>
  <c r="Y65" i="136"/>
  <c r="Z65" i="136"/>
  <c r="AA65" i="136"/>
  <c r="X66" i="136"/>
  <c r="Y66" i="136"/>
  <c r="Z66" i="136"/>
  <c r="AA66" i="136"/>
  <c r="X67" i="136"/>
  <c r="Y67" i="136"/>
  <c r="Z67" i="136"/>
  <c r="AA67" i="136"/>
  <c r="X68" i="136"/>
  <c r="Y68" i="136"/>
  <c r="Z68" i="136"/>
  <c r="AA68" i="136"/>
  <c r="X69" i="136"/>
  <c r="Y69" i="136"/>
  <c r="Z69" i="136"/>
  <c r="AA69" i="136"/>
  <c r="X70" i="136"/>
  <c r="Y70" i="136"/>
  <c r="Z70" i="136"/>
  <c r="AA70" i="136"/>
  <c r="X71" i="136"/>
  <c r="Y71" i="136"/>
  <c r="Z71" i="136"/>
  <c r="AA71" i="136"/>
  <c r="X72" i="136"/>
  <c r="Y72" i="136"/>
  <c r="Z72" i="136"/>
  <c r="AA72" i="136"/>
  <c r="X73" i="136"/>
  <c r="Y73" i="136"/>
  <c r="Z73" i="136"/>
  <c r="AA73" i="136"/>
  <c r="X74" i="136"/>
  <c r="Y74" i="136"/>
  <c r="Z74" i="136"/>
  <c r="AA74" i="136"/>
  <c r="X75" i="136"/>
  <c r="Y75" i="136"/>
  <c r="Z75" i="136"/>
  <c r="AA75" i="136"/>
  <c r="X76" i="136"/>
  <c r="Y76" i="136"/>
  <c r="Z76" i="136"/>
  <c r="AA76" i="136"/>
  <c r="X77" i="136"/>
  <c r="Y77" i="136"/>
  <c r="Z77" i="136"/>
  <c r="AA77" i="136"/>
  <c r="X78" i="136"/>
  <c r="Y78" i="136"/>
  <c r="Z78" i="136"/>
  <c r="AA78" i="136"/>
  <c r="X79" i="136"/>
  <c r="Y79" i="136"/>
  <c r="Z79" i="136"/>
  <c r="AA79" i="136"/>
  <c r="X80" i="136"/>
  <c r="Y80" i="136"/>
  <c r="Z80" i="136"/>
  <c r="AA80" i="136"/>
  <c r="X81" i="136"/>
  <c r="Y81" i="136"/>
  <c r="Z81" i="136"/>
  <c r="AA81" i="136"/>
  <c r="X82" i="136"/>
  <c r="Y82" i="136"/>
  <c r="Z82" i="136"/>
  <c r="AA82" i="136"/>
  <c r="X83" i="136"/>
  <c r="Y83" i="136"/>
  <c r="Z83" i="136"/>
  <c r="AA83" i="136"/>
  <c r="X84" i="136"/>
  <c r="Y84" i="136"/>
  <c r="Z84" i="136"/>
  <c r="AA84" i="136"/>
  <c r="X85" i="136"/>
  <c r="Y85" i="136"/>
  <c r="Z85" i="136"/>
  <c r="AA85" i="136"/>
  <c r="X86" i="136"/>
  <c r="Y86" i="136"/>
  <c r="Z86" i="136"/>
  <c r="AA86" i="136"/>
  <c r="X87" i="136"/>
  <c r="Y87" i="136"/>
  <c r="Z87" i="136"/>
  <c r="AA87" i="136"/>
  <c r="X88" i="136"/>
  <c r="Y88" i="136"/>
  <c r="Z88" i="136"/>
  <c r="AA88" i="136"/>
  <c r="X89" i="136"/>
  <c r="Y89" i="136"/>
  <c r="Z89" i="136"/>
  <c r="AA89" i="136"/>
  <c r="X90" i="136"/>
  <c r="Y90" i="136"/>
  <c r="Z90" i="136"/>
  <c r="AA90" i="136"/>
  <c r="X91" i="136"/>
  <c r="Y91" i="136"/>
  <c r="Z91" i="136"/>
  <c r="AA91" i="136"/>
  <c r="X92" i="136"/>
  <c r="Y92" i="136"/>
  <c r="Z92" i="136"/>
  <c r="AA92" i="136"/>
  <c r="X93" i="136"/>
  <c r="Y93" i="136"/>
  <c r="Z93" i="136"/>
  <c r="AA93" i="136"/>
  <c r="X94" i="136"/>
  <c r="Y94" i="136"/>
  <c r="Z94" i="136"/>
  <c r="AA94" i="136"/>
  <c r="X95" i="136"/>
  <c r="Y95" i="136"/>
  <c r="Z95" i="136"/>
  <c r="AA95" i="136"/>
  <c r="X96" i="136"/>
  <c r="Y96" i="136"/>
  <c r="Z96" i="136"/>
  <c r="AA96" i="136"/>
  <c r="X97" i="136"/>
  <c r="Y97" i="136"/>
  <c r="Z97" i="136"/>
  <c r="AA97" i="136"/>
  <c r="X98" i="136"/>
  <c r="Y98" i="136"/>
  <c r="Z98" i="136"/>
  <c r="AA98" i="136"/>
  <c r="X99" i="136"/>
  <c r="Y99" i="136"/>
  <c r="Z99" i="136"/>
  <c r="AA99" i="136"/>
  <c r="X100" i="136"/>
  <c r="Y100" i="136"/>
  <c r="Z100" i="136"/>
  <c r="AA100" i="136"/>
  <c r="X101" i="136"/>
  <c r="Y101" i="136"/>
  <c r="Z101" i="136"/>
  <c r="AA101" i="136"/>
  <c r="X102" i="136"/>
  <c r="Y102" i="136"/>
  <c r="Z102" i="136"/>
  <c r="AA102" i="136"/>
  <c r="X103" i="136"/>
  <c r="Y103" i="136"/>
  <c r="Z103" i="136"/>
  <c r="AA103" i="136"/>
  <c r="X104" i="136"/>
  <c r="Y104" i="136"/>
  <c r="Z104" i="136"/>
  <c r="AA104" i="136"/>
  <c r="X105" i="136"/>
  <c r="Y105" i="136"/>
  <c r="Z105" i="136"/>
  <c r="AA105" i="136"/>
  <c r="X106" i="136"/>
  <c r="Y106" i="136"/>
  <c r="Z106" i="136"/>
  <c r="AA106" i="136"/>
  <c r="X107" i="136"/>
  <c r="Y107" i="136"/>
  <c r="Z107" i="136"/>
  <c r="AA107" i="136"/>
  <c r="X108" i="136"/>
  <c r="Y108" i="136"/>
  <c r="Z108" i="136"/>
  <c r="AA108" i="136"/>
  <c r="X109" i="136"/>
  <c r="Y109" i="136"/>
  <c r="Z109" i="136"/>
  <c r="AA109" i="136"/>
  <c r="X110" i="136"/>
  <c r="Y110" i="136"/>
  <c r="Z110" i="136"/>
  <c r="AA110" i="136"/>
  <c r="X111" i="136"/>
  <c r="Y111" i="136"/>
  <c r="Z111" i="136"/>
  <c r="AA111" i="136"/>
  <c r="X112" i="136"/>
  <c r="Y112" i="136"/>
  <c r="Z112" i="136"/>
  <c r="AA112" i="136"/>
  <c r="X113" i="136"/>
  <c r="Y113" i="136"/>
  <c r="Z113" i="136"/>
  <c r="AA113" i="136"/>
  <c r="X114" i="136"/>
  <c r="Y114" i="136"/>
  <c r="Z114" i="136"/>
  <c r="AA114" i="136"/>
  <c r="X115" i="136"/>
  <c r="Y115" i="136"/>
  <c r="Z115" i="136"/>
  <c r="AA115" i="136"/>
  <c r="X116" i="136"/>
  <c r="Y116" i="136"/>
  <c r="Z116" i="136"/>
  <c r="AA116" i="136"/>
  <c r="X117" i="136"/>
  <c r="Y117" i="136"/>
  <c r="Z117" i="136"/>
  <c r="AA117" i="136"/>
  <c r="X118" i="136"/>
  <c r="Y118" i="136"/>
  <c r="Z118" i="136"/>
  <c r="AA118" i="136"/>
  <c r="X119" i="136"/>
  <c r="Y119" i="136"/>
  <c r="Z119" i="136"/>
  <c r="AA119" i="136"/>
  <c r="X120" i="136"/>
  <c r="Y120" i="136"/>
  <c r="Z120" i="136"/>
  <c r="AA120" i="136"/>
  <c r="X121" i="136"/>
  <c r="Y121" i="136"/>
  <c r="Z121" i="136"/>
  <c r="AA121" i="136"/>
  <c r="X122" i="136"/>
  <c r="Y122" i="136"/>
  <c r="Z122" i="136"/>
  <c r="AA122" i="136"/>
  <c r="X123" i="136"/>
  <c r="Y123" i="136"/>
  <c r="Z123" i="136"/>
  <c r="AA123" i="136"/>
  <c r="X124" i="136"/>
  <c r="Y124" i="136"/>
  <c r="Z124" i="136"/>
  <c r="AA124" i="136"/>
  <c r="X125" i="136"/>
  <c r="Y125" i="136"/>
  <c r="Z125" i="136"/>
  <c r="AA125" i="136"/>
  <c r="X126" i="136"/>
  <c r="Y126" i="136"/>
  <c r="Z126" i="136"/>
  <c r="AA126" i="136"/>
  <c r="X127" i="136"/>
  <c r="Y127" i="136"/>
  <c r="Z127" i="136"/>
  <c r="AA127" i="136"/>
  <c r="X128" i="136"/>
  <c r="Y128" i="136"/>
  <c r="Z128" i="136"/>
  <c r="AA128" i="136"/>
  <c r="X129" i="136"/>
  <c r="Y129" i="136"/>
  <c r="Z129" i="136"/>
  <c r="AA129" i="136"/>
  <c r="X130" i="136"/>
  <c r="Y130" i="136"/>
  <c r="Z130" i="136"/>
  <c r="AA130" i="136"/>
  <c r="X131" i="136"/>
  <c r="Y131" i="136"/>
  <c r="Z131" i="136"/>
  <c r="AA131" i="136"/>
  <c r="X132" i="136"/>
  <c r="Y132" i="136"/>
  <c r="Z132" i="136"/>
  <c r="AA132" i="136"/>
  <c r="X133" i="136"/>
  <c r="Y133" i="136"/>
  <c r="Z133" i="136"/>
  <c r="AA133" i="136"/>
  <c r="X134" i="136"/>
  <c r="Y134" i="136"/>
  <c r="Z134" i="136"/>
  <c r="AA134" i="136"/>
  <c r="X135" i="136"/>
  <c r="Y135" i="136"/>
  <c r="Z135" i="136"/>
  <c r="AA135" i="136"/>
  <c r="X136" i="136"/>
  <c r="Y136" i="136"/>
  <c r="Z136" i="136"/>
  <c r="AA136" i="136"/>
  <c r="X137" i="136"/>
  <c r="Y137" i="136"/>
  <c r="Z137" i="136"/>
  <c r="AA137" i="136"/>
  <c r="X138" i="136"/>
  <c r="Y138" i="136"/>
  <c r="Z138" i="136"/>
  <c r="AA138" i="136"/>
  <c r="X139" i="136"/>
  <c r="Y139" i="136"/>
  <c r="Z139" i="136"/>
  <c r="AA139" i="136"/>
  <c r="X140" i="136"/>
  <c r="Y140" i="136"/>
  <c r="Z140" i="136"/>
  <c r="AA140" i="136"/>
  <c r="X141" i="136"/>
  <c r="Y141" i="136"/>
  <c r="Z141" i="136"/>
  <c r="AA141" i="136"/>
  <c r="X142" i="136"/>
  <c r="Y142" i="136"/>
  <c r="Z142" i="136"/>
  <c r="AA142" i="136"/>
  <c r="X143" i="136"/>
  <c r="Y143" i="136"/>
  <c r="Z143" i="136"/>
  <c r="AA143" i="136"/>
  <c r="X144" i="136"/>
  <c r="Y144" i="136"/>
  <c r="Z144" i="136"/>
  <c r="AA144" i="136"/>
  <c r="X145" i="136"/>
  <c r="Y145" i="136"/>
  <c r="Z145" i="136"/>
  <c r="AA145" i="136"/>
  <c r="Y3" i="136"/>
  <c r="Z3" i="136"/>
  <c r="AA3" i="136"/>
  <c r="Q4" i="136"/>
  <c r="W11" i="4" s="1"/>
  <c r="Q5" i="136"/>
  <c r="W12" i="4" s="1"/>
  <c r="Q6" i="136"/>
  <c r="W13" i="4" s="1"/>
  <c r="Q7" i="136"/>
  <c r="W14" i="4" s="1"/>
  <c r="Q8" i="136"/>
  <c r="W15" i="4" s="1"/>
  <c r="Q9" i="136"/>
  <c r="W17" i="4" s="1"/>
  <c r="Q10" i="136"/>
  <c r="W18" i="4" s="1"/>
  <c r="Q11" i="136"/>
  <c r="W19" i="4" s="1"/>
  <c r="Q12" i="136"/>
  <c r="W20" i="4" s="1"/>
  <c r="Q13" i="136"/>
  <c r="W21" i="4" s="1"/>
  <c r="Q14" i="136"/>
  <c r="W23" i="4" s="1"/>
  <c r="Q15" i="136"/>
  <c r="W26" i="4" s="1"/>
  <c r="Q16" i="136"/>
  <c r="W27" i="4" s="1"/>
  <c r="Q17" i="136"/>
  <c r="W28" i="4" s="1"/>
  <c r="Q18" i="136"/>
  <c r="W33" i="4" s="1"/>
  <c r="Q19" i="136"/>
  <c r="W34" i="4" s="1"/>
  <c r="Q20" i="136"/>
  <c r="W36" i="4" s="1"/>
  <c r="Q21" i="136"/>
  <c r="W42" i="4" s="1"/>
  <c r="Q22" i="136"/>
  <c r="W43" i="4" s="1"/>
  <c r="Q23" i="136"/>
  <c r="W44" i="4" s="1"/>
  <c r="Q24" i="136"/>
  <c r="W45" i="4" s="1"/>
  <c r="Q25" i="136"/>
  <c r="W46" i="4" s="1"/>
  <c r="Q26" i="136"/>
  <c r="W47" i="4" s="1"/>
  <c r="Q27" i="136"/>
  <c r="W49" i="4" s="1"/>
  <c r="Q28" i="136"/>
  <c r="W50" i="4" s="1"/>
  <c r="Q29" i="136"/>
  <c r="W51" i="4" s="1"/>
  <c r="Q30" i="136"/>
  <c r="W54" i="4" s="1"/>
  <c r="Q31" i="136"/>
  <c r="W57" i="4" s="1"/>
  <c r="Q32" i="136"/>
  <c r="W58" i="4" s="1"/>
  <c r="Q33" i="136"/>
  <c r="W59" i="4" s="1"/>
  <c r="Q34" i="136"/>
  <c r="W64" i="4" s="1"/>
  <c r="Q35" i="136"/>
  <c r="W65" i="4" s="1"/>
  <c r="Q36" i="136"/>
  <c r="W66" i="4" s="1"/>
  <c r="Q37" i="136"/>
  <c r="W67" i="4" s="1"/>
  <c r="Q38" i="136"/>
  <c r="W73" i="4" s="1"/>
  <c r="Q39" i="136"/>
  <c r="W74" i="4" s="1"/>
  <c r="Q40" i="136"/>
  <c r="W75" i="4" s="1"/>
  <c r="Q41" i="136"/>
  <c r="W76" i="4" s="1"/>
  <c r="Q42" i="136"/>
  <c r="W77" i="4" s="1"/>
  <c r="Q43" i="136"/>
  <c r="W80" i="4" s="1"/>
  <c r="Q44" i="136"/>
  <c r="W83" i="4" s="1"/>
  <c r="Q45" i="136"/>
  <c r="W85" i="4" s="1"/>
  <c r="Q46" i="136"/>
  <c r="W86" i="4" s="1"/>
  <c r="Q47" i="136"/>
  <c r="W89" i="4" s="1"/>
  <c r="Q48" i="136"/>
  <c r="W90" i="4" s="1"/>
  <c r="Q49" i="136"/>
  <c r="W93" i="4" s="1"/>
  <c r="Q50" i="136"/>
  <c r="W97" i="4" s="1"/>
  <c r="Q51" i="136"/>
  <c r="W101" i="4" s="1"/>
  <c r="Q52" i="136"/>
  <c r="W103" i="4" s="1"/>
  <c r="Q53" i="136"/>
  <c r="W104" i="4" s="1"/>
  <c r="Q54" i="136"/>
  <c r="W105" i="4" s="1"/>
  <c r="Q55" i="136"/>
  <c r="W106" i="4" s="1"/>
  <c r="Q56" i="136"/>
  <c r="W107" i="4" s="1"/>
  <c r="Q57" i="136"/>
  <c r="W108" i="4" s="1"/>
  <c r="Q58" i="136"/>
  <c r="W110" i="4" s="1"/>
  <c r="Q59" i="136"/>
  <c r="W112" i="4" s="1"/>
  <c r="Q60" i="136"/>
  <c r="W114" i="4" s="1"/>
  <c r="Q61" i="136"/>
  <c r="W123" i="4" s="1"/>
  <c r="Q62" i="136"/>
  <c r="W124" i="4" s="1"/>
  <c r="Q63" i="136"/>
  <c r="W125" i="4" s="1"/>
  <c r="Q64" i="136"/>
  <c r="W127" i="4" s="1"/>
  <c r="Q65" i="136"/>
  <c r="W128" i="4" s="1"/>
  <c r="Q66" i="136"/>
  <c r="W129" i="4" s="1"/>
  <c r="Q67" i="136"/>
  <c r="W130" i="4" s="1"/>
  <c r="Q68" i="136"/>
  <c r="W131" i="4" s="1"/>
  <c r="Q69" i="136"/>
  <c r="W132" i="4" s="1"/>
  <c r="Q70" i="136"/>
  <c r="W134" i="4" s="1"/>
  <c r="Q71" i="136"/>
  <c r="W139" i="4" s="1"/>
  <c r="Q72" i="136"/>
  <c r="W142" i="4" s="1"/>
  <c r="Q73" i="136"/>
  <c r="W143" i="4" s="1"/>
  <c r="Q74" i="136"/>
  <c r="W144" i="4" s="1"/>
  <c r="Q75" i="136"/>
  <c r="W145" i="4" s="1"/>
  <c r="Q76" i="136"/>
  <c r="W153" i="4" s="1"/>
  <c r="Q77" i="136"/>
  <c r="W162" i="4" s="1"/>
  <c r="Q78" i="136"/>
  <c r="W169" i="4" s="1"/>
  <c r="Q79" i="136"/>
  <c r="W182" i="4" s="1"/>
  <c r="Q80" i="136"/>
  <c r="W183" i="4" s="1"/>
  <c r="Q81" i="136"/>
  <c r="W184" i="4" s="1"/>
  <c r="Q82" i="136"/>
  <c r="W189" i="4" s="1"/>
  <c r="Q83" i="136"/>
  <c r="W190" i="4" s="1"/>
  <c r="Q84" i="136"/>
  <c r="W197" i="4" s="1"/>
  <c r="Q85" i="136"/>
  <c r="W198" i="4" s="1"/>
  <c r="Q86" i="136"/>
  <c r="W200" i="4" s="1"/>
  <c r="Q87" i="136"/>
  <c r="W201" i="4" s="1"/>
  <c r="Q88" i="136"/>
  <c r="W202" i="4" s="1"/>
  <c r="Q3" i="136"/>
  <c r="W10" i="4" s="1"/>
  <c r="P139" i="39" l="1"/>
  <c r="Q100" i="4"/>
  <c r="Q98" i="4"/>
  <c r="Q95" i="4"/>
  <c r="Q93" i="4"/>
  <c r="Q89" i="4"/>
  <c r="Q87" i="4"/>
  <c r="Q85" i="4"/>
  <c r="Q80" i="4"/>
  <c r="Q76" i="4"/>
  <c r="Q74" i="4"/>
  <c r="Q72" i="4"/>
  <c r="Q70" i="4"/>
  <c r="Q68" i="4"/>
  <c r="Q66" i="4"/>
  <c r="Q64" i="4"/>
  <c r="Q61" i="4"/>
  <c r="Q59" i="4"/>
  <c r="Q57" i="4"/>
  <c r="Q54" i="4"/>
  <c r="Q51" i="4"/>
  <c r="Q49" i="4"/>
  <c r="Q46" i="4"/>
  <c r="Q44" i="4"/>
  <c r="Q42" i="4"/>
  <c r="Q40" i="4"/>
  <c r="Q38" i="4"/>
  <c r="Q36" i="4"/>
  <c r="Q34" i="4"/>
  <c r="Q31" i="4"/>
  <c r="Q29" i="4"/>
  <c r="Q27" i="4"/>
  <c r="Q24" i="4"/>
  <c r="Q22" i="4"/>
  <c r="Q20" i="4"/>
  <c r="Q18" i="4"/>
  <c r="Q15" i="4"/>
  <c r="Q13" i="4"/>
  <c r="Q11" i="4"/>
  <c r="Q10" i="4"/>
  <c r="Q101" i="4"/>
  <c r="Q99" i="4"/>
  <c r="Q97" i="4"/>
  <c r="Q94" i="4"/>
  <c r="Q90" i="4"/>
  <c r="Q88" i="4"/>
  <c r="Q86" i="4"/>
  <c r="Q83" i="4"/>
  <c r="Q77" i="4"/>
  <c r="Q75" i="4"/>
  <c r="Q73" i="4"/>
  <c r="Q71" i="4"/>
  <c r="Q69" i="4"/>
  <c r="Q67" i="4"/>
  <c r="Q65" i="4"/>
  <c r="Q62" i="4"/>
  <c r="Q60" i="4"/>
  <c r="Q58" i="4"/>
  <c r="Q55" i="4"/>
  <c r="Q52" i="4"/>
  <c r="Q50" i="4"/>
  <c r="Q47" i="4"/>
  <c r="Q45" i="4"/>
  <c r="Q43" i="4"/>
  <c r="Q41" i="4"/>
  <c r="Q39" i="4"/>
  <c r="Q37" i="4"/>
  <c r="Q35" i="4"/>
  <c r="Q33" i="4"/>
  <c r="Q30" i="4"/>
  <c r="Q28" i="4"/>
  <c r="Q26" i="4"/>
  <c r="Q23" i="4"/>
  <c r="Q21" i="4"/>
  <c r="Q19" i="4"/>
  <c r="Q17" i="4"/>
  <c r="Q14" i="4"/>
  <c r="Q12" i="4"/>
  <c r="X14" i="37"/>
  <c r="X12" i="37" s="1"/>
  <c r="W20" i="35"/>
  <c r="W10" i="35" s="1"/>
  <c r="W9" i="35" s="1"/>
  <c r="X20" i="35"/>
  <c r="X10" i="35" s="1"/>
  <c r="X9" i="35" s="1"/>
  <c r="X42" i="37"/>
  <c r="X38" i="37" s="1"/>
  <c r="W14" i="37"/>
  <c r="W12" i="37" s="1"/>
  <c r="W42" i="37"/>
  <c r="W38" i="37" s="1"/>
  <c r="W9" i="4"/>
  <c r="U4" i="139"/>
  <c r="V4" i="139"/>
  <c r="W4" i="139"/>
  <c r="U5" i="139"/>
  <c r="V5" i="139"/>
  <c r="W5" i="139"/>
  <c r="U6" i="139"/>
  <c r="V6" i="139"/>
  <c r="W6" i="139"/>
  <c r="U7" i="139"/>
  <c r="I70" i="54" s="1"/>
  <c r="V7" i="139"/>
  <c r="W7" i="139"/>
  <c r="U8" i="139"/>
  <c r="V8" i="139"/>
  <c r="L70" i="54" s="1"/>
  <c r="W8" i="139"/>
  <c r="V3" i="139"/>
  <c r="W3" i="139"/>
  <c r="U3" i="139"/>
  <c r="V61" i="35"/>
  <c r="V33" i="35"/>
  <c r="Z4" i="137"/>
  <c r="AA4" i="137"/>
  <c r="AB4" i="137"/>
  <c r="Z5" i="137"/>
  <c r="AA5" i="137"/>
  <c r="AB5" i="137"/>
  <c r="Z6" i="137"/>
  <c r="AA6" i="137"/>
  <c r="AB6" i="137"/>
  <c r="Z7" i="137"/>
  <c r="AA7" i="137"/>
  <c r="AB7" i="137"/>
  <c r="Z8" i="137"/>
  <c r="AA8" i="137"/>
  <c r="AB8" i="137"/>
  <c r="Z9" i="137"/>
  <c r="AA9" i="137"/>
  <c r="AB9" i="137"/>
  <c r="Z10" i="137"/>
  <c r="AA10" i="137"/>
  <c r="AB10" i="137"/>
  <c r="Z11" i="137"/>
  <c r="AA11" i="137"/>
  <c r="AB11" i="137"/>
  <c r="Z12" i="137"/>
  <c r="AA12" i="137"/>
  <c r="AB12" i="137"/>
  <c r="Z13" i="137"/>
  <c r="AA13" i="137"/>
  <c r="AB13" i="137"/>
  <c r="Z14" i="137"/>
  <c r="AA14" i="137"/>
  <c r="AB14" i="137"/>
  <c r="Z15" i="137"/>
  <c r="AA15" i="137"/>
  <c r="AB15" i="137"/>
  <c r="Z16" i="137"/>
  <c r="AA16" i="137"/>
  <c r="AB16" i="137"/>
  <c r="Z17" i="137"/>
  <c r="AA17" i="137"/>
  <c r="AB17" i="137"/>
  <c r="Z18" i="137"/>
  <c r="AA18" i="137"/>
  <c r="AB18" i="137"/>
  <c r="Z19" i="137"/>
  <c r="AA19" i="137"/>
  <c r="AB19" i="137"/>
  <c r="Z20" i="137"/>
  <c r="AA20" i="137"/>
  <c r="AB20" i="137"/>
  <c r="Z21" i="137"/>
  <c r="AA21" i="137"/>
  <c r="AB21" i="137"/>
  <c r="Z22" i="137"/>
  <c r="AA22" i="137"/>
  <c r="AB22" i="137"/>
  <c r="Z23" i="137"/>
  <c r="AA23" i="137"/>
  <c r="AB23" i="137"/>
  <c r="Z24" i="137"/>
  <c r="AA24" i="137"/>
  <c r="AB24" i="137"/>
  <c r="Z25" i="137"/>
  <c r="AA25" i="137"/>
  <c r="AB25" i="137"/>
  <c r="Z26" i="137"/>
  <c r="AA26" i="137"/>
  <c r="AB26" i="137"/>
  <c r="Z27" i="137"/>
  <c r="AA27" i="137"/>
  <c r="AB27" i="137"/>
  <c r="Z28" i="137"/>
  <c r="AA28" i="137"/>
  <c r="AB28" i="137"/>
  <c r="Z29" i="137"/>
  <c r="AA29" i="137"/>
  <c r="AB29" i="137"/>
  <c r="Z30" i="137"/>
  <c r="AA30" i="137"/>
  <c r="AB30" i="137"/>
  <c r="Z31" i="137"/>
  <c r="AA31" i="137"/>
  <c r="AB31" i="137"/>
  <c r="Z32" i="137"/>
  <c r="AA32" i="137"/>
  <c r="AB32" i="137"/>
  <c r="Z33" i="137"/>
  <c r="AA33" i="137"/>
  <c r="AB33" i="137"/>
  <c r="Z34" i="137"/>
  <c r="AA34" i="137"/>
  <c r="AB34" i="137"/>
  <c r="Z35" i="137"/>
  <c r="AA35" i="137"/>
  <c r="AB35" i="137"/>
  <c r="Z36" i="137"/>
  <c r="AA36" i="137"/>
  <c r="AB36" i="137"/>
  <c r="Z37" i="137"/>
  <c r="AA37" i="137"/>
  <c r="AB37" i="137"/>
  <c r="Z38" i="137"/>
  <c r="AA38" i="137"/>
  <c r="AB38" i="137"/>
  <c r="Z39" i="137"/>
  <c r="AA39" i="137"/>
  <c r="AB39" i="137"/>
  <c r="Z40" i="137"/>
  <c r="AA40" i="137"/>
  <c r="AB40" i="137"/>
  <c r="Z41" i="137"/>
  <c r="AA41" i="137"/>
  <c r="AB41" i="137"/>
  <c r="Z42" i="137"/>
  <c r="AA42" i="137"/>
  <c r="AB42" i="137"/>
  <c r="Z43" i="137"/>
  <c r="AA43" i="137"/>
  <c r="AB43" i="137"/>
  <c r="Z44" i="137"/>
  <c r="AA44" i="137"/>
  <c r="AB44" i="137"/>
  <c r="Z45" i="137"/>
  <c r="AA45" i="137"/>
  <c r="AB45" i="137"/>
  <c r="Z46" i="137"/>
  <c r="AA46" i="137"/>
  <c r="AB46" i="137"/>
  <c r="Z47" i="137"/>
  <c r="AA47" i="137"/>
  <c r="AB47" i="137"/>
  <c r="AA3" i="137"/>
  <c r="AB3" i="137"/>
  <c r="Z3" i="137"/>
  <c r="Q4" i="137"/>
  <c r="V22" i="35" s="1"/>
  <c r="Q5" i="137"/>
  <c r="V32" i="35" s="1"/>
  <c r="Q32" i="35" s="1"/>
  <c r="Q6" i="137"/>
  <c r="V30" i="35" s="1"/>
  <c r="Q7" i="137"/>
  <c r="V38" i="35" s="1"/>
  <c r="Q38" i="35" s="1"/>
  <c r="Q8" i="137"/>
  <c r="V42" i="35" s="1"/>
  <c r="Q42" i="35" s="1"/>
  <c r="Q9" i="137"/>
  <c r="V56" i="35" s="1"/>
  <c r="Q56" i="35" s="1"/>
  <c r="Q10" i="137"/>
  <c r="V57" i="35" s="1"/>
  <c r="Q57" i="35" s="1"/>
  <c r="Q3" i="137"/>
  <c r="V26" i="35" s="1"/>
  <c r="Q37" i="35" l="1"/>
  <c r="K26" i="35"/>
  <c r="Q26" i="35"/>
  <c r="K208" i="4"/>
  <c r="K206" i="4"/>
  <c r="X11" i="37"/>
  <c r="W11" i="37"/>
  <c r="V27" i="35"/>
  <c r="V21" i="35"/>
  <c r="V55" i="35"/>
  <c r="V54" i="35" s="1"/>
  <c r="V53" i="35" s="1"/>
  <c r="V37" i="35"/>
  <c r="V39" i="37"/>
  <c r="V35" i="37"/>
  <c r="AA4" i="138"/>
  <c r="AB4" i="138"/>
  <c r="AC4" i="138"/>
  <c r="AA5" i="138"/>
  <c r="AB5" i="138"/>
  <c r="AC5" i="138"/>
  <c r="AA6" i="138"/>
  <c r="AB6" i="138"/>
  <c r="AC6" i="138"/>
  <c r="AA7" i="138"/>
  <c r="AB7" i="138"/>
  <c r="AC7" i="138"/>
  <c r="AA8" i="138"/>
  <c r="AB8" i="138"/>
  <c r="AC8" i="138"/>
  <c r="AA9" i="138"/>
  <c r="AB9" i="138"/>
  <c r="AC9" i="138"/>
  <c r="AA10" i="138"/>
  <c r="AB10" i="138"/>
  <c r="AC10" i="138"/>
  <c r="AA11" i="138"/>
  <c r="AB11" i="138"/>
  <c r="AC11" i="138"/>
  <c r="AA12" i="138"/>
  <c r="AB12" i="138"/>
  <c r="AC12" i="138"/>
  <c r="AA13" i="138"/>
  <c r="AB13" i="138"/>
  <c r="AC13" i="138"/>
  <c r="AA14" i="138"/>
  <c r="AB14" i="138"/>
  <c r="AC14" i="138"/>
  <c r="AA15" i="138"/>
  <c r="AB15" i="138"/>
  <c r="AC15" i="138"/>
  <c r="AA16" i="138"/>
  <c r="AB16" i="138"/>
  <c r="AC16" i="138"/>
  <c r="AA17" i="138"/>
  <c r="AB17" i="138"/>
  <c r="AC17" i="138"/>
  <c r="AA18" i="138"/>
  <c r="AB18" i="138"/>
  <c r="AC18" i="138"/>
  <c r="AA19" i="138"/>
  <c r="AB19" i="138"/>
  <c r="AC19" i="138"/>
  <c r="AA20" i="138"/>
  <c r="AB20" i="138"/>
  <c r="AC20" i="138"/>
  <c r="AA21" i="138"/>
  <c r="AB21" i="138"/>
  <c r="AC21" i="138"/>
  <c r="AA22" i="138"/>
  <c r="AB22" i="138"/>
  <c r="AC22" i="138"/>
  <c r="AA23" i="138"/>
  <c r="AB23" i="138"/>
  <c r="AC23" i="138"/>
  <c r="AA24" i="138"/>
  <c r="AB24" i="138"/>
  <c r="AC24" i="138"/>
  <c r="AA25" i="138"/>
  <c r="AB25" i="138"/>
  <c r="AC25" i="138"/>
  <c r="AA26" i="138"/>
  <c r="AB26" i="138"/>
  <c r="AC26" i="138"/>
  <c r="AA27" i="138"/>
  <c r="AB27" i="138"/>
  <c r="AC27" i="138"/>
  <c r="AA28" i="138"/>
  <c r="AB28" i="138"/>
  <c r="AC28" i="138"/>
  <c r="AA29" i="138"/>
  <c r="AB29" i="138"/>
  <c r="AC29" i="138"/>
  <c r="AA30" i="138"/>
  <c r="AB30" i="138"/>
  <c r="AC30" i="138"/>
  <c r="AA31" i="138"/>
  <c r="AB31" i="138"/>
  <c r="AC31" i="138"/>
  <c r="AA32" i="138"/>
  <c r="AB32" i="138"/>
  <c r="AC32" i="138"/>
  <c r="AA33" i="138"/>
  <c r="AB33" i="138"/>
  <c r="AC33" i="138"/>
  <c r="AA34" i="138"/>
  <c r="AB34" i="138"/>
  <c r="AC34" i="138"/>
  <c r="AA35" i="138"/>
  <c r="AB35" i="138"/>
  <c r="AC35" i="138"/>
  <c r="AA36" i="138"/>
  <c r="AB36" i="138"/>
  <c r="AC36" i="138"/>
  <c r="AA37" i="138"/>
  <c r="AB37" i="138"/>
  <c r="AC37" i="138"/>
  <c r="AA38" i="138"/>
  <c r="AB38" i="138"/>
  <c r="AC38" i="138"/>
  <c r="AA39" i="138"/>
  <c r="AB39" i="138"/>
  <c r="AC39" i="138"/>
  <c r="AA40" i="138"/>
  <c r="AB40" i="138"/>
  <c r="AC40" i="138"/>
  <c r="AA41" i="138"/>
  <c r="AB41" i="138"/>
  <c r="AC41" i="138"/>
  <c r="AA42" i="138"/>
  <c r="AB42" i="138"/>
  <c r="AC42" i="138"/>
  <c r="AB3" i="138"/>
  <c r="AC3" i="138"/>
  <c r="AA3" i="138"/>
  <c r="R4" i="138"/>
  <c r="V17" i="37" s="1"/>
  <c r="Q17" i="37" s="1"/>
  <c r="R5" i="138"/>
  <c r="V18" i="37" s="1"/>
  <c r="R6" i="138"/>
  <c r="V45" i="37" s="1"/>
  <c r="V43" i="37" s="1"/>
  <c r="R7" i="138"/>
  <c r="V49" i="37" s="1"/>
  <c r="R8" i="138"/>
  <c r="V52" i="37" s="1"/>
  <c r="Q52" i="37" s="1"/>
  <c r="R9" i="138"/>
  <c r="V54" i="37" s="1"/>
  <c r="R10" i="138"/>
  <c r="V57" i="37" s="1"/>
  <c r="Q57" i="37" s="1"/>
  <c r="R3" i="138"/>
  <c r="V15" i="37" s="1"/>
  <c r="Q15" i="37" s="1"/>
  <c r="V16" i="37" l="1"/>
  <c r="V14" i="37" s="1"/>
  <c r="V12" i="37" s="1"/>
  <c r="V20" i="35"/>
  <c r="V48" i="37"/>
  <c r="V42" i="37" s="1"/>
  <c r="V38" i="37" s="1"/>
  <c r="R11" i="138"/>
  <c r="V11" i="37" l="1"/>
  <c r="V10" i="35"/>
  <c r="V9" i="35" s="1"/>
  <c r="D115" i="136"/>
  <c r="H115" i="136" s="1"/>
  <c r="F257" i="39"/>
  <c r="P142" i="39" l="1"/>
  <c r="H257" i="39"/>
  <c r="F68" i="39"/>
  <c r="F4" i="139" l="1"/>
  <c r="G4" i="139"/>
  <c r="H4" i="139"/>
  <c r="T33" i="54" s="1"/>
  <c r="F5" i="139"/>
  <c r="G5" i="139"/>
  <c r="H5" i="139"/>
  <c r="F6" i="139"/>
  <c r="G6" i="139"/>
  <c r="H6" i="139"/>
  <c r="F7" i="139"/>
  <c r="H71" i="54" s="1"/>
  <c r="G7" i="139"/>
  <c r="H7" i="139"/>
  <c r="F8" i="139"/>
  <c r="G8" i="139"/>
  <c r="H8" i="139"/>
  <c r="T71" i="54" s="1"/>
  <c r="G3" i="139"/>
  <c r="H3" i="139"/>
  <c r="F3" i="139"/>
  <c r="R23" i="37"/>
  <c r="P33" i="37"/>
  <c r="P31" i="37"/>
  <c r="Q197" i="39"/>
  <c r="P197" i="39"/>
  <c r="L197" i="39"/>
  <c r="M197" i="39" s="1"/>
  <c r="G197" i="39"/>
  <c r="F197" i="39"/>
  <c r="L39" i="37"/>
  <c r="H39" i="37"/>
  <c r="L35" i="37"/>
  <c r="L33" i="37"/>
  <c r="H33" i="37"/>
  <c r="L31" i="37"/>
  <c r="H31" i="37"/>
  <c r="L29" i="37"/>
  <c r="I84" i="37"/>
  <c r="T39" i="37"/>
  <c r="T35" i="37"/>
  <c r="T33" i="37"/>
  <c r="T31" i="37"/>
  <c r="T28" i="37"/>
  <c r="H4" i="138"/>
  <c r="I4" i="138"/>
  <c r="J4" i="138"/>
  <c r="H5" i="138"/>
  <c r="I5" i="138"/>
  <c r="J5" i="138"/>
  <c r="H6" i="138"/>
  <c r="I6" i="138"/>
  <c r="J6" i="138"/>
  <c r="H7" i="138"/>
  <c r="I7" i="138"/>
  <c r="J7" i="138"/>
  <c r="H8" i="138"/>
  <c r="I8" i="138"/>
  <c r="J8" i="138"/>
  <c r="H9" i="138"/>
  <c r="I9" i="138"/>
  <c r="J9" i="138"/>
  <c r="H10" i="138"/>
  <c r="I10" i="138"/>
  <c r="J10" i="138"/>
  <c r="H11" i="138"/>
  <c r="I11" i="138"/>
  <c r="J11" i="138"/>
  <c r="T21" i="37" s="1"/>
  <c r="H12" i="138"/>
  <c r="I12" i="138"/>
  <c r="J12" i="138"/>
  <c r="T22" i="37" s="1"/>
  <c r="H13" i="138"/>
  <c r="I13" i="138"/>
  <c r="J13" i="138"/>
  <c r="T18" i="37" s="1"/>
  <c r="Q18" i="37" s="1"/>
  <c r="H14" i="138"/>
  <c r="I14" i="138"/>
  <c r="J14" i="138"/>
  <c r="H15" i="138"/>
  <c r="H197" i="39" s="1"/>
  <c r="I15" i="138"/>
  <c r="J15" i="138"/>
  <c r="H16" i="138"/>
  <c r="I16" i="138"/>
  <c r="J16" i="138"/>
  <c r="H17" i="138"/>
  <c r="I17" i="138"/>
  <c r="J17" i="138"/>
  <c r="H18" i="138"/>
  <c r="I18" i="138"/>
  <c r="J18" i="138"/>
  <c r="H19" i="138"/>
  <c r="I19" i="138"/>
  <c r="J19" i="138"/>
  <c r="H20" i="138"/>
  <c r="I20" i="138"/>
  <c r="J20" i="138"/>
  <c r="T45" i="37" s="1"/>
  <c r="H21" i="138"/>
  <c r="I21" i="138"/>
  <c r="J21" i="138"/>
  <c r="H22" i="138"/>
  <c r="I22" i="138"/>
  <c r="J22" i="138"/>
  <c r="T46" i="37" s="1"/>
  <c r="H23" i="138"/>
  <c r="I23" i="138"/>
  <c r="J23" i="138"/>
  <c r="H24" i="138"/>
  <c r="I24" i="138"/>
  <c r="J24" i="138"/>
  <c r="H25" i="138"/>
  <c r="I25" i="138"/>
  <c r="J25" i="138"/>
  <c r="T49" i="37" s="1"/>
  <c r="Q49" i="37" s="1"/>
  <c r="H26" i="138"/>
  <c r="I26" i="138"/>
  <c r="J26" i="138"/>
  <c r="H27" i="138"/>
  <c r="I27" i="138"/>
  <c r="J27" i="138"/>
  <c r="H28" i="138"/>
  <c r="I28" i="138"/>
  <c r="J28" i="138"/>
  <c r="H29" i="138"/>
  <c r="I29" i="138"/>
  <c r="J29" i="138"/>
  <c r="H30" i="138"/>
  <c r="I30" i="138"/>
  <c r="J30" i="138"/>
  <c r="H31" i="138"/>
  <c r="I31" i="138"/>
  <c r="J31" i="138"/>
  <c r="T54" i="37" s="1"/>
  <c r="H32" i="138"/>
  <c r="I32" i="138"/>
  <c r="J32" i="138"/>
  <c r="H33" i="138"/>
  <c r="I33" i="138"/>
  <c r="J33" i="138"/>
  <c r="H34" i="138"/>
  <c r="I34" i="138"/>
  <c r="J34" i="138"/>
  <c r="H35" i="138"/>
  <c r="I35" i="138"/>
  <c r="J35" i="138"/>
  <c r="H36" i="138"/>
  <c r="I36" i="138"/>
  <c r="J36" i="138"/>
  <c r="H37" i="138"/>
  <c r="I37" i="138"/>
  <c r="J37" i="138"/>
  <c r="H38" i="138"/>
  <c r="I38" i="138"/>
  <c r="J38" i="138"/>
  <c r="T60" i="37" s="1"/>
  <c r="I3" i="138"/>
  <c r="J3" i="138"/>
  <c r="H3" i="138"/>
  <c r="L11" i="35"/>
  <c r="I11" i="35"/>
  <c r="H11" i="35"/>
  <c r="L35" i="35"/>
  <c r="I35" i="35"/>
  <c r="H35" i="35"/>
  <c r="L33" i="35"/>
  <c r="Q71" i="54" l="1"/>
  <c r="R71" i="54" s="1"/>
  <c r="J33" i="54"/>
  <c r="Q33" i="54"/>
  <c r="Q32" i="54" s="1"/>
  <c r="M11" i="35"/>
  <c r="Q60" i="37"/>
  <c r="Q46" i="37"/>
  <c r="Q45" i="37"/>
  <c r="Q22" i="37"/>
  <c r="Q21" i="37"/>
  <c r="Q54" i="37"/>
  <c r="Q48" i="37" s="1"/>
  <c r="R197" i="39"/>
  <c r="T16" i="37"/>
  <c r="N11" i="35"/>
  <c r="L28" i="37"/>
  <c r="T32" i="54"/>
  <c r="N70" i="54"/>
  <c r="O70" i="54" s="1"/>
  <c r="L48" i="37"/>
  <c r="T70" i="54"/>
  <c r="L43" i="37"/>
  <c r="K23" i="37"/>
  <c r="J197" i="39"/>
  <c r="K197" i="39" s="1"/>
  <c r="T48" i="37"/>
  <c r="T43" i="37"/>
  <c r="T59" i="37"/>
  <c r="G218" i="39"/>
  <c r="H4" i="137"/>
  <c r="I4" i="137"/>
  <c r="J4" i="137"/>
  <c r="H5" i="137"/>
  <c r="I5" i="137"/>
  <c r="J5" i="137"/>
  <c r="H6" i="137"/>
  <c r="I6" i="137"/>
  <c r="J6" i="137"/>
  <c r="H7" i="137"/>
  <c r="I7" i="137"/>
  <c r="J7" i="137"/>
  <c r="H8" i="137"/>
  <c r="I8" i="137"/>
  <c r="J8" i="137"/>
  <c r="H9" i="137"/>
  <c r="I9" i="137"/>
  <c r="J9" i="137"/>
  <c r="T22" i="35" s="1"/>
  <c r="T21" i="35" s="1"/>
  <c r="H10" i="137"/>
  <c r="I10" i="137"/>
  <c r="J10" i="137"/>
  <c r="H11" i="137"/>
  <c r="I11" i="137"/>
  <c r="J11" i="137"/>
  <c r="H12" i="137"/>
  <c r="I12" i="137"/>
  <c r="J12" i="137"/>
  <c r="H13" i="137"/>
  <c r="I13" i="137"/>
  <c r="J13" i="137"/>
  <c r="H14" i="137"/>
  <c r="I14" i="137"/>
  <c r="J14" i="137"/>
  <c r="H15" i="137"/>
  <c r="I15" i="137"/>
  <c r="J15" i="137"/>
  <c r="T29" i="35" s="1"/>
  <c r="H16" i="137"/>
  <c r="I16" i="137"/>
  <c r="J16" i="137"/>
  <c r="H17" i="137"/>
  <c r="I17" i="137"/>
  <c r="J17" i="137"/>
  <c r="T30" i="35" s="1"/>
  <c r="Q30" i="35" s="1"/>
  <c r="H18" i="137"/>
  <c r="I18" i="137"/>
  <c r="J18" i="137"/>
  <c r="H19" i="137"/>
  <c r="P33" i="35" s="1"/>
  <c r="I19" i="137"/>
  <c r="J19" i="137"/>
  <c r="H20" i="137"/>
  <c r="I20" i="137"/>
  <c r="J20" i="137"/>
  <c r="H21" i="137"/>
  <c r="I21" i="137"/>
  <c r="J21" i="137"/>
  <c r="H22" i="137"/>
  <c r="I22" i="137"/>
  <c r="J22" i="137"/>
  <c r="H23" i="137"/>
  <c r="I23" i="137"/>
  <c r="J23" i="137"/>
  <c r="H24" i="137"/>
  <c r="I24" i="137"/>
  <c r="J24" i="137"/>
  <c r="H25" i="137"/>
  <c r="I25" i="137"/>
  <c r="J25" i="137"/>
  <c r="H26" i="137"/>
  <c r="I26" i="137"/>
  <c r="L37" i="35" s="1"/>
  <c r="J26" i="137"/>
  <c r="H27" i="137"/>
  <c r="I27" i="137"/>
  <c r="J27" i="137"/>
  <c r="H28" i="137"/>
  <c r="I28" i="137"/>
  <c r="J28" i="137"/>
  <c r="T49" i="35" s="1"/>
  <c r="T47" i="35" s="1"/>
  <c r="H29" i="137"/>
  <c r="R52" i="35" s="1"/>
  <c r="I29" i="137"/>
  <c r="J29" i="137"/>
  <c r="H30" i="137"/>
  <c r="I30" i="137"/>
  <c r="J30" i="137"/>
  <c r="H31" i="137"/>
  <c r="I31" i="137"/>
  <c r="J31" i="137"/>
  <c r="H32" i="137"/>
  <c r="I32" i="137"/>
  <c r="J32" i="137"/>
  <c r="H33" i="137"/>
  <c r="I33" i="137"/>
  <c r="J33" i="137"/>
  <c r="H34" i="137"/>
  <c r="I34" i="137"/>
  <c r="J34" i="137"/>
  <c r="H35" i="137"/>
  <c r="I35" i="137"/>
  <c r="J35" i="137"/>
  <c r="H36" i="137"/>
  <c r="I36" i="137"/>
  <c r="J36" i="137"/>
  <c r="H37" i="137"/>
  <c r="I37" i="137"/>
  <c r="J37" i="137"/>
  <c r="H38" i="137"/>
  <c r="P61" i="35" s="1"/>
  <c r="I38" i="137"/>
  <c r="J38" i="137"/>
  <c r="H39" i="137"/>
  <c r="I39" i="137"/>
  <c r="J39" i="137"/>
  <c r="H40" i="137"/>
  <c r="I40" i="137"/>
  <c r="J40" i="137"/>
  <c r="H41" i="137"/>
  <c r="I41" i="137"/>
  <c r="J41" i="137"/>
  <c r="H42" i="137"/>
  <c r="I42" i="137"/>
  <c r="J42" i="137"/>
  <c r="H43" i="137"/>
  <c r="I43" i="137"/>
  <c r="J43" i="137"/>
  <c r="I3" i="137"/>
  <c r="J3" i="137"/>
  <c r="H3" i="137"/>
  <c r="P21" i="35" l="1"/>
  <c r="P27" i="35"/>
  <c r="T46" i="35"/>
  <c r="Q46" i="35" s="1"/>
  <c r="Q47" i="35"/>
  <c r="P47" i="35"/>
  <c r="P46" i="35" s="1"/>
  <c r="P55" i="35"/>
  <c r="P54" i="35" s="1"/>
  <c r="P53" i="35" s="1"/>
  <c r="P37" i="35"/>
  <c r="Q70" i="54"/>
  <c r="R70" i="54" s="1"/>
  <c r="Q43" i="37"/>
  <c r="L216" i="39"/>
  <c r="Q16" i="37"/>
  <c r="Q29" i="35"/>
  <c r="Q27" i="35" s="1"/>
  <c r="T27" i="35"/>
  <c r="T20" i="35" s="1"/>
  <c r="T10" i="35" s="1"/>
  <c r="Q49" i="35"/>
  <c r="Q22" i="35"/>
  <c r="Q21" i="35" s="1"/>
  <c r="N28" i="37"/>
  <c r="T9" i="54"/>
  <c r="J71" i="54" s="1"/>
  <c r="K16" i="37"/>
  <c r="T14" i="37"/>
  <c r="T12" i="37" s="1"/>
  <c r="H16" i="37"/>
  <c r="J44" i="137"/>
  <c r="L42" i="37"/>
  <c r="L38" i="37" s="1"/>
  <c r="L11" i="37" s="1"/>
  <c r="M70" i="54"/>
  <c r="N71" i="54"/>
  <c r="O71" i="54" s="1"/>
  <c r="T62" i="35"/>
  <c r="T61" i="35" s="1"/>
  <c r="L27" i="35"/>
  <c r="L20" i="35" s="1"/>
  <c r="L61" i="35"/>
  <c r="L302" i="39" s="1"/>
  <c r="L218" i="39"/>
  <c r="M218" i="39" s="1"/>
  <c r="L55" i="35"/>
  <c r="L54" i="35" s="1"/>
  <c r="L53" i="35" s="1"/>
  <c r="H46" i="35"/>
  <c r="I33" i="35"/>
  <c r="I192" i="39" s="1"/>
  <c r="H33" i="35"/>
  <c r="H85" i="37"/>
  <c r="H61" i="35"/>
  <c r="H90" i="37"/>
  <c r="N23" i="37"/>
  <c r="M23" i="37"/>
  <c r="H29" i="37"/>
  <c r="T42" i="37"/>
  <c r="T38" i="37" s="1"/>
  <c r="H59" i="37"/>
  <c r="H48" i="37"/>
  <c r="H79" i="37" s="1"/>
  <c r="I14" i="37"/>
  <c r="K12" i="35"/>
  <c r="K23" i="35"/>
  <c r="K24" i="35"/>
  <c r="K25" i="35"/>
  <c r="K22" i="35"/>
  <c r="I12" i="37" l="1"/>
  <c r="N14" i="37"/>
  <c r="N12" i="37" s="1"/>
  <c r="P20" i="35"/>
  <c r="P10" i="35" s="1"/>
  <c r="P9" i="35" s="1"/>
  <c r="L10" i="35"/>
  <c r="T9" i="35"/>
  <c r="J21" i="35" s="1"/>
  <c r="Q62" i="35"/>
  <c r="L191" i="39"/>
  <c r="M191" i="39" s="1"/>
  <c r="N27" i="35"/>
  <c r="N48" i="37"/>
  <c r="N43" i="37"/>
  <c r="T11" i="37"/>
  <c r="K71" i="54"/>
  <c r="M71" i="54"/>
  <c r="I55" i="35"/>
  <c r="I54" i="35" s="1"/>
  <c r="I53" i="35" s="1"/>
  <c r="H55" i="35"/>
  <c r="H21" i="35"/>
  <c r="I37" i="35"/>
  <c r="I202" i="39" s="1"/>
  <c r="I61" i="35"/>
  <c r="I302" i="39" s="1"/>
  <c r="N62" i="35"/>
  <c r="N197" i="39"/>
  <c r="O197" i="39" s="1"/>
  <c r="O23" i="37"/>
  <c r="H27" i="35"/>
  <c r="H37" i="35"/>
  <c r="H218" i="39"/>
  <c r="H42" i="37"/>
  <c r="H14" i="37"/>
  <c r="H12" i="37" s="1"/>
  <c r="H28" i="37"/>
  <c r="J191" i="39"/>
  <c r="K191" i="39" s="1"/>
  <c r="Q32" i="37" l="1"/>
  <c r="J35" i="37"/>
  <c r="J38" i="37"/>
  <c r="J56" i="37"/>
  <c r="J34" i="37"/>
  <c r="J29" i="37"/>
  <c r="J31" i="37"/>
  <c r="J41" i="37"/>
  <c r="J58" i="37"/>
  <c r="J33" i="37"/>
  <c r="J57" i="37"/>
  <c r="J37" i="37"/>
  <c r="J36" i="37"/>
  <c r="J40" i="37"/>
  <c r="J28" i="37"/>
  <c r="J39" i="37"/>
  <c r="J58" i="35"/>
  <c r="J59" i="35"/>
  <c r="J50" i="35"/>
  <c r="K50" i="35" s="1"/>
  <c r="J51" i="35"/>
  <c r="K51" i="35" s="1"/>
  <c r="J52" i="35"/>
  <c r="K52" i="35" s="1"/>
  <c r="J48" i="35"/>
  <c r="K48" i="35" s="1"/>
  <c r="J44" i="35"/>
  <c r="K44" i="35" s="1"/>
  <c r="J45" i="35"/>
  <c r="J20" i="35"/>
  <c r="J29" i="35"/>
  <c r="J35" i="35"/>
  <c r="J62" i="35"/>
  <c r="J37" i="35"/>
  <c r="J55" i="35"/>
  <c r="J61" i="35"/>
  <c r="J63" i="35"/>
  <c r="J60" i="35"/>
  <c r="J43" i="35"/>
  <c r="K43" i="35" s="1"/>
  <c r="J40" i="35"/>
  <c r="J41" i="35"/>
  <c r="J32" i="35"/>
  <c r="J33" i="35"/>
  <c r="J57" i="35"/>
  <c r="J38" i="35"/>
  <c r="J53" i="35"/>
  <c r="J42" i="35"/>
  <c r="K42" i="35" s="1"/>
  <c r="J34" i="35"/>
  <c r="J39" i="35"/>
  <c r="J49" i="35"/>
  <c r="K49" i="35" s="1"/>
  <c r="J31" i="35"/>
  <c r="J36" i="35"/>
  <c r="J56" i="35"/>
  <c r="J28" i="35"/>
  <c r="J30" i="35"/>
  <c r="K27" i="35"/>
  <c r="H54" i="35"/>
  <c r="I20" i="35"/>
  <c r="H20" i="35"/>
  <c r="H10" i="35" s="1"/>
  <c r="N218" i="39"/>
  <c r="O218" i="39" s="1"/>
  <c r="H38" i="37"/>
  <c r="H4" i="136"/>
  <c r="I4" i="136"/>
  <c r="J4" i="136"/>
  <c r="K4" i="136"/>
  <c r="H5" i="136"/>
  <c r="I5" i="136"/>
  <c r="J5" i="136"/>
  <c r="K5" i="136"/>
  <c r="H6" i="136"/>
  <c r="I6" i="136"/>
  <c r="J6" i="136"/>
  <c r="K6" i="136"/>
  <c r="H7" i="136"/>
  <c r="I7" i="136"/>
  <c r="J7" i="136"/>
  <c r="K7" i="136"/>
  <c r="H8" i="136"/>
  <c r="I8" i="136"/>
  <c r="J8" i="136"/>
  <c r="K8" i="136"/>
  <c r="H9" i="136"/>
  <c r="I9" i="136"/>
  <c r="J9" i="136"/>
  <c r="K9" i="136"/>
  <c r="H10" i="136"/>
  <c r="I10" i="136"/>
  <c r="J10" i="136"/>
  <c r="K10" i="136"/>
  <c r="H11" i="136"/>
  <c r="I11" i="136"/>
  <c r="J11" i="136"/>
  <c r="K11" i="136"/>
  <c r="H12" i="136"/>
  <c r="I12" i="136"/>
  <c r="J12" i="136"/>
  <c r="K12" i="136"/>
  <c r="H13" i="136"/>
  <c r="I13" i="136"/>
  <c r="J13" i="136"/>
  <c r="K13" i="136"/>
  <c r="H14" i="136"/>
  <c r="I14" i="136"/>
  <c r="J14" i="136"/>
  <c r="K14" i="136"/>
  <c r="H15" i="136"/>
  <c r="I15" i="136"/>
  <c r="J15" i="136"/>
  <c r="K15" i="136"/>
  <c r="H16" i="136"/>
  <c r="I16" i="136"/>
  <c r="J16" i="136"/>
  <c r="K16" i="136"/>
  <c r="H17" i="136"/>
  <c r="I17" i="136"/>
  <c r="J17" i="136"/>
  <c r="K17" i="136"/>
  <c r="H18" i="136"/>
  <c r="I18" i="136"/>
  <c r="J18" i="136"/>
  <c r="K18" i="136"/>
  <c r="H19" i="136"/>
  <c r="I19" i="136"/>
  <c r="J19" i="136"/>
  <c r="K19" i="136"/>
  <c r="H20" i="136"/>
  <c r="I20" i="136"/>
  <c r="J20" i="136"/>
  <c r="K20" i="136"/>
  <c r="H21" i="136"/>
  <c r="I21" i="136"/>
  <c r="J21" i="136"/>
  <c r="K21" i="136"/>
  <c r="H22" i="136"/>
  <c r="I22" i="136"/>
  <c r="J22" i="136"/>
  <c r="K22" i="136"/>
  <c r="H23" i="136"/>
  <c r="I23" i="136"/>
  <c r="J23" i="136"/>
  <c r="K23" i="136"/>
  <c r="H24" i="136"/>
  <c r="I24" i="136"/>
  <c r="J24" i="136"/>
  <c r="K24" i="136"/>
  <c r="H25" i="136"/>
  <c r="I25" i="136"/>
  <c r="J25" i="136"/>
  <c r="K25" i="136"/>
  <c r="H26" i="136"/>
  <c r="I26" i="136"/>
  <c r="J26" i="136"/>
  <c r="K26" i="136"/>
  <c r="H27" i="136"/>
  <c r="I27" i="136"/>
  <c r="J27" i="136"/>
  <c r="K27" i="136"/>
  <c r="H28" i="136"/>
  <c r="I28" i="136"/>
  <c r="J28" i="136"/>
  <c r="K28" i="136"/>
  <c r="H29" i="136"/>
  <c r="I29" i="136"/>
  <c r="J29" i="136"/>
  <c r="K29" i="136"/>
  <c r="H30" i="136"/>
  <c r="I30" i="136"/>
  <c r="J30" i="136"/>
  <c r="K30" i="136"/>
  <c r="H31" i="136"/>
  <c r="I31" i="136"/>
  <c r="J31" i="136"/>
  <c r="K31" i="136"/>
  <c r="H32" i="136"/>
  <c r="I32" i="136"/>
  <c r="J32" i="136"/>
  <c r="K32" i="136"/>
  <c r="H33" i="136"/>
  <c r="I33" i="136"/>
  <c r="J33" i="136"/>
  <c r="K33" i="136"/>
  <c r="H34" i="136"/>
  <c r="I34" i="136"/>
  <c r="J34" i="136"/>
  <c r="K34" i="136"/>
  <c r="H35" i="136"/>
  <c r="I35" i="136"/>
  <c r="J35" i="136"/>
  <c r="K35" i="136"/>
  <c r="H36" i="136"/>
  <c r="I36" i="136"/>
  <c r="J36" i="136"/>
  <c r="K36" i="136"/>
  <c r="H37" i="136"/>
  <c r="I37" i="136"/>
  <c r="J37" i="136"/>
  <c r="K37" i="136"/>
  <c r="H38" i="136"/>
  <c r="I38" i="136"/>
  <c r="J38" i="136"/>
  <c r="K38" i="136"/>
  <c r="H39" i="136"/>
  <c r="I39" i="136"/>
  <c r="J39" i="136"/>
  <c r="K39" i="136"/>
  <c r="H40" i="136"/>
  <c r="I40" i="136"/>
  <c r="J40" i="136"/>
  <c r="K40" i="136"/>
  <c r="H41" i="136"/>
  <c r="I41" i="136"/>
  <c r="J41" i="136"/>
  <c r="K41" i="136"/>
  <c r="H42" i="136"/>
  <c r="I42" i="136"/>
  <c r="J42" i="136"/>
  <c r="K42" i="136"/>
  <c r="H43" i="136"/>
  <c r="I43" i="136"/>
  <c r="J43" i="136"/>
  <c r="K43" i="136"/>
  <c r="H44" i="136"/>
  <c r="I44" i="136"/>
  <c r="J44" i="136"/>
  <c r="K44" i="136"/>
  <c r="H45" i="136"/>
  <c r="I45" i="136"/>
  <c r="J45" i="136"/>
  <c r="K45" i="136"/>
  <c r="H46" i="136"/>
  <c r="I46" i="136"/>
  <c r="J46" i="136"/>
  <c r="K46" i="136"/>
  <c r="H47" i="136"/>
  <c r="I47" i="136"/>
  <c r="J47" i="136"/>
  <c r="K47" i="136"/>
  <c r="H48" i="136"/>
  <c r="I48" i="136"/>
  <c r="J48" i="136"/>
  <c r="K48" i="136"/>
  <c r="H49" i="136"/>
  <c r="I49" i="136"/>
  <c r="J49" i="136"/>
  <c r="K49" i="136"/>
  <c r="H50" i="136"/>
  <c r="I50" i="136"/>
  <c r="J50" i="136"/>
  <c r="K50" i="136"/>
  <c r="H51" i="136"/>
  <c r="I51" i="136"/>
  <c r="J51" i="136"/>
  <c r="K51" i="136"/>
  <c r="H52" i="136"/>
  <c r="I52" i="136"/>
  <c r="J52" i="136"/>
  <c r="K52" i="136"/>
  <c r="H53" i="136"/>
  <c r="I53" i="136"/>
  <c r="J53" i="136"/>
  <c r="K53" i="136"/>
  <c r="H54" i="136"/>
  <c r="I54" i="136"/>
  <c r="J54" i="136"/>
  <c r="K54" i="136"/>
  <c r="H55" i="136"/>
  <c r="I55" i="136"/>
  <c r="J55" i="136"/>
  <c r="K55" i="136"/>
  <c r="H56" i="136"/>
  <c r="I56" i="136"/>
  <c r="J56" i="136"/>
  <c r="K56" i="136"/>
  <c r="H57" i="136"/>
  <c r="I57" i="136"/>
  <c r="J57" i="136"/>
  <c r="K57" i="136"/>
  <c r="H58" i="136"/>
  <c r="I58" i="136"/>
  <c r="J58" i="136"/>
  <c r="K58" i="136"/>
  <c r="H59" i="136"/>
  <c r="I59" i="136"/>
  <c r="J59" i="136"/>
  <c r="K59" i="136"/>
  <c r="H60" i="136"/>
  <c r="I60" i="136"/>
  <c r="J60" i="136"/>
  <c r="K60" i="136"/>
  <c r="H61" i="136"/>
  <c r="I61" i="136"/>
  <c r="J61" i="136"/>
  <c r="K61" i="136"/>
  <c r="H62" i="136"/>
  <c r="I62" i="136"/>
  <c r="J62" i="136"/>
  <c r="K62" i="136"/>
  <c r="H63" i="136"/>
  <c r="I63" i="136"/>
  <c r="J63" i="136"/>
  <c r="K63" i="136"/>
  <c r="H64" i="136"/>
  <c r="I64" i="136"/>
  <c r="J64" i="136"/>
  <c r="K64" i="136"/>
  <c r="H65" i="136"/>
  <c r="I65" i="136"/>
  <c r="J65" i="136"/>
  <c r="K65" i="136"/>
  <c r="H66" i="136"/>
  <c r="I66" i="136"/>
  <c r="J66" i="136"/>
  <c r="K66" i="136"/>
  <c r="H67" i="136"/>
  <c r="I67" i="136"/>
  <c r="J67" i="136"/>
  <c r="K67" i="136"/>
  <c r="H68" i="136"/>
  <c r="I68" i="136"/>
  <c r="J68" i="136"/>
  <c r="K68" i="136"/>
  <c r="H69" i="136"/>
  <c r="I69" i="136"/>
  <c r="J69" i="136"/>
  <c r="K69" i="136"/>
  <c r="H70" i="136"/>
  <c r="I70" i="136"/>
  <c r="J70" i="136"/>
  <c r="K70" i="136"/>
  <c r="H71" i="136"/>
  <c r="I71" i="136"/>
  <c r="J71" i="136"/>
  <c r="K71" i="136"/>
  <c r="H72" i="136"/>
  <c r="I72" i="136"/>
  <c r="J72" i="136"/>
  <c r="K72" i="136"/>
  <c r="H73" i="136"/>
  <c r="I73" i="136"/>
  <c r="J73" i="136"/>
  <c r="K73" i="136"/>
  <c r="H74" i="136"/>
  <c r="I74" i="136"/>
  <c r="J74" i="136"/>
  <c r="K74" i="136"/>
  <c r="H75" i="136"/>
  <c r="I75" i="136"/>
  <c r="J75" i="136"/>
  <c r="K75" i="136"/>
  <c r="H76" i="136"/>
  <c r="I76" i="136"/>
  <c r="J76" i="136"/>
  <c r="K76" i="136"/>
  <c r="H77" i="136"/>
  <c r="I77" i="136"/>
  <c r="J77" i="136"/>
  <c r="K77" i="136"/>
  <c r="H78" i="136"/>
  <c r="I78" i="136"/>
  <c r="J78" i="136"/>
  <c r="K78" i="136"/>
  <c r="H79" i="136"/>
  <c r="I79" i="136"/>
  <c r="J79" i="136"/>
  <c r="K79" i="136"/>
  <c r="H80" i="136"/>
  <c r="I80" i="136"/>
  <c r="J80" i="136"/>
  <c r="K80" i="136"/>
  <c r="H81" i="136"/>
  <c r="I81" i="136"/>
  <c r="J81" i="136"/>
  <c r="K81" i="136"/>
  <c r="H82" i="136"/>
  <c r="I82" i="136"/>
  <c r="J82" i="136"/>
  <c r="K82" i="136"/>
  <c r="H83" i="136"/>
  <c r="I83" i="136"/>
  <c r="J83" i="136"/>
  <c r="K83" i="136"/>
  <c r="H84" i="136"/>
  <c r="I84" i="136"/>
  <c r="J84" i="136"/>
  <c r="K84" i="136"/>
  <c r="H85" i="136"/>
  <c r="I85" i="136"/>
  <c r="J85" i="136"/>
  <c r="K85" i="136"/>
  <c r="H86" i="136"/>
  <c r="I86" i="136"/>
  <c r="J86" i="136"/>
  <c r="K86" i="136"/>
  <c r="H87" i="136"/>
  <c r="I87" i="136"/>
  <c r="J87" i="136"/>
  <c r="K87" i="136"/>
  <c r="H88" i="136"/>
  <c r="I88" i="136"/>
  <c r="J88" i="136"/>
  <c r="K88" i="136"/>
  <c r="H89" i="136"/>
  <c r="I89" i="136"/>
  <c r="J89" i="136"/>
  <c r="K89" i="136"/>
  <c r="H90" i="136"/>
  <c r="I90" i="136"/>
  <c r="J90" i="136"/>
  <c r="K90" i="136"/>
  <c r="H91" i="136"/>
  <c r="I91" i="136"/>
  <c r="J91" i="136"/>
  <c r="K91" i="136"/>
  <c r="H92" i="136"/>
  <c r="I92" i="136"/>
  <c r="J92" i="136"/>
  <c r="K92" i="136"/>
  <c r="H93" i="136"/>
  <c r="I93" i="136"/>
  <c r="J93" i="136"/>
  <c r="K93" i="136"/>
  <c r="H94" i="136"/>
  <c r="I94" i="136"/>
  <c r="J94" i="136"/>
  <c r="K94" i="136"/>
  <c r="H95" i="136"/>
  <c r="I95" i="136"/>
  <c r="J95" i="136"/>
  <c r="K95" i="136"/>
  <c r="H96" i="136"/>
  <c r="I96" i="136"/>
  <c r="J96" i="136"/>
  <c r="K96" i="136"/>
  <c r="H97" i="136"/>
  <c r="I97" i="136"/>
  <c r="J97" i="136"/>
  <c r="K97" i="136"/>
  <c r="H98" i="136"/>
  <c r="I98" i="136"/>
  <c r="J98" i="136"/>
  <c r="K98" i="136"/>
  <c r="H99" i="136"/>
  <c r="I99" i="136"/>
  <c r="J99" i="136"/>
  <c r="K99" i="136"/>
  <c r="H100" i="136"/>
  <c r="I100" i="136"/>
  <c r="J100" i="136"/>
  <c r="K100" i="136"/>
  <c r="H101" i="136"/>
  <c r="I101" i="136"/>
  <c r="J101" i="136"/>
  <c r="K101" i="136"/>
  <c r="H102" i="136"/>
  <c r="I102" i="136"/>
  <c r="J102" i="136"/>
  <c r="K102" i="136"/>
  <c r="H103" i="136"/>
  <c r="I103" i="136"/>
  <c r="J103" i="136"/>
  <c r="K103" i="136"/>
  <c r="H104" i="136"/>
  <c r="I104" i="136"/>
  <c r="J104" i="136"/>
  <c r="K104" i="136"/>
  <c r="H105" i="136"/>
  <c r="I105" i="136"/>
  <c r="J105" i="136"/>
  <c r="K105" i="136"/>
  <c r="H106" i="136"/>
  <c r="I106" i="136"/>
  <c r="J106" i="136"/>
  <c r="K106" i="136"/>
  <c r="H107" i="136"/>
  <c r="I107" i="136"/>
  <c r="J107" i="136"/>
  <c r="K107" i="136"/>
  <c r="H108" i="136"/>
  <c r="I108" i="136"/>
  <c r="J108" i="136"/>
  <c r="K108" i="136"/>
  <c r="H109" i="136"/>
  <c r="I109" i="136"/>
  <c r="J109" i="136"/>
  <c r="K109" i="136"/>
  <c r="H110" i="136"/>
  <c r="I110" i="136"/>
  <c r="J110" i="136"/>
  <c r="K110" i="136"/>
  <c r="H111" i="136"/>
  <c r="I111" i="136"/>
  <c r="J111" i="136"/>
  <c r="K111" i="136"/>
  <c r="I112" i="136"/>
  <c r="J112" i="136"/>
  <c r="K112" i="136"/>
  <c r="H113" i="136"/>
  <c r="I113" i="136"/>
  <c r="J113" i="136"/>
  <c r="K113" i="136"/>
  <c r="H114" i="136"/>
  <c r="I114" i="136"/>
  <c r="J114" i="136"/>
  <c r="K114" i="136"/>
  <c r="I115" i="136"/>
  <c r="J115" i="136"/>
  <c r="K115" i="136"/>
  <c r="H116" i="136"/>
  <c r="I116" i="136"/>
  <c r="J116" i="136"/>
  <c r="K116" i="136"/>
  <c r="H117" i="136"/>
  <c r="I117" i="136"/>
  <c r="J117" i="136"/>
  <c r="K117" i="136"/>
  <c r="H118" i="136"/>
  <c r="I118" i="136"/>
  <c r="J118" i="136"/>
  <c r="K118" i="136"/>
  <c r="H119" i="136"/>
  <c r="I119" i="136"/>
  <c r="J119" i="136"/>
  <c r="K119" i="136"/>
  <c r="H120" i="136"/>
  <c r="I120" i="136"/>
  <c r="J120" i="136"/>
  <c r="K120" i="136"/>
  <c r="H121" i="136"/>
  <c r="I121" i="136"/>
  <c r="J121" i="136"/>
  <c r="K121" i="136"/>
  <c r="H122" i="136"/>
  <c r="I122" i="136"/>
  <c r="J122" i="136"/>
  <c r="K122" i="136"/>
  <c r="H123" i="136"/>
  <c r="I123" i="136"/>
  <c r="J123" i="136"/>
  <c r="K123" i="136"/>
  <c r="H124" i="136"/>
  <c r="I124" i="136"/>
  <c r="J124" i="136"/>
  <c r="K124" i="136"/>
  <c r="H125" i="136"/>
  <c r="I125" i="136"/>
  <c r="J125" i="136"/>
  <c r="K125" i="136"/>
  <c r="H126" i="136"/>
  <c r="I126" i="136"/>
  <c r="J126" i="136"/>
  <c r="K126" i="136"/>
  <c r="H127" i="136"/>
  <c r="I127" i="136"/>
  <c r="J127" i="136"/>
  <c r="K127" i="136"/>
  <c r="H128" i="136"/>
  <c r="I128" i="136"/>
  <c r="J128" i="136"/>
  <c r="K128" i="136"/>
  <c r="H129" i="136"/>
  <c r="I129" i="136"/>
  <c r="J129" i="136"/>
  <c r="N217" i="39" s="1"/>
  <c r="O217" i="39" s="1"/>
  <c r="K129" i="136"/>
  <c r="H130" i="136"/>
  <c r="I130" i="136"/>
  <c r="J130" i="136"/>
  <c r="K130" i="136"/>
  <c r="H131" i="136"/>
  <c r="I131" i="136"/>
  <c r="J131" i="136"/>
  <c r="N220" i="39" s="1"/>
  <c r="O220" i="39" s="1"/>
  <c r="K131" i="136"/>
  <c r="H132" i="136"/>
  <c r="I132" i="136"/>
  <c r="J132" i="136"/>
  <c r="N221" i="39" s="1"/>
  <c r="O221" i="39" s="1"/>
  <c r="K132" i="136"/>
  <c r="L306" i="39"/>
  <c r="M306" i="39" s="1"/>
  <c r="I3" i="136"/>
  <c r="J3" i="136"/>
  <c r="K3" i="136"/>
  <c r="H3" i="136"/>
  <c r="J11" i="37" l="1"/>
  <c r="J316" i="39" s="1"/>
  <c r="I10" i="35"/>
  <c r="M10" i="35" s="1"/>
  <c r="M20" i="35"/>
  <c r="J212" i="39"/>
  <c r="K45" i="35"/>
  <c r="J47" i="35"/>
  <c r="K47" i="35" s="1"/>
  <c r="U72" i="4"/>
  <c r="U70" i="4"/>
  <c r="U64" i="4"/>
  <c r="U169" i="4"/>
  <c r="U148" i="4"/>
  <c r="U131" i="4"/>
  <c r="U129" i="4"/>
  <c r="U105" i="4"/>
  <c r="U103" i="4"/>
  <c r="U100" i="4"/>
  <c r="U98" i="4"/>
  <c r="U40" i="4"/>
  <c r="U151" i="4"/>
  <c r="U145" i="4"/>
  <c r="P141" i="39"/>
  <c r="U130" i="4"/>
  <c r="U101" i="4"/>
  <c r="U99" i="4"/>
  <c r="U97" i="4"/>
  <c r="U90" i="4"/>
  <c r="U88" i="4"/>
  <c r="U86" i="4"/>
  <c r="U52" i="4"/>
  <c r="U50" i="4"/>
  <c r="U47" i="4"/>
  <c r="U28" i="4"/>
  <c r="R28" i="4" s="1"/>
  <c r="U23" i="4"/>
  <c r="R23" i="4" s="1"/>
  <c r="U21" i="4"/>
  <c r="R21" i="4" s="1"/>
  <c r="U19" i="4"/>
  <c r="R19" i="4" s="1"/>
  <c r="U14" i="4"/>
  <c r="R14" i="4" s="1"/>
  <c r="U12" i="4"/>
  <c r="U139" i="4"/>
  <c r="U140" i="4"/>
  <c r="U134" i="4"/>
  <c r="U125" i="4"/>
  <c r="U123" i="4"/>
  <c r="U121" i="4"/>
  <c r="U94" i="4"/>
  <c r="U45" i="4"/>
  <c r="U142" i="4"/>
  <c r="U141" i="4"/>
  <c r="U137" i="4"/>
  <c r="H219" i="39"/>
  <c r="P143" i="39"/>
  <c r="U138" i="4"/>
  <c r="U132" i="4"/>
  <c r="U110" i="4"/>
  <c r="U108" i="4"/>
  <c r="U77" i="4"/>
  <c r="U75" i="4"/>
  <c r="U73" i="4"/>
  <c r="U41" i="4"/>
  <c r="U39" i="4"/>
  <c r="U37" i="4"/>
  <c r="U33" i="4"/>
  <c r="U10" i="4"/>
  <c r="U187" i="4"/>
  <c r="U184" i="4"/>
  <c r="U182" i="4"/>
  <c r="U163" i="4"/>
  <c r="U153" i="4"/>
  <c r="U147" i="4"/>
  <c r="U114" i="4"/>
  <c r="U106" i="4"/>
  <c r="U69" i="4"/>
  <c r="U67" i="4"/>
  <c r="U65" i="4"/>
  <c r="U62" i="4"/>
  <c r="U60" i="4"/>
  <c r="P140" i="39"/>
  <c r="U124" i="4"/>
  <c r="U122" i="4"/>
  <c r="U120" i="4"/>
  <c r="U80" i="4"/>
  <c r="U76" i="4"/>
  <c r="U68" i="4"/>
  <c r="U54" i="4"/>
  <c r="U51" i="4"/>
  <c r="U49" i="4"/>
  <c r="U44" i="4"/>
  <c r="U31" i="4"/>
  <c r="R31" i="4" s="1"/>
  <c r="U27" i="4"/>
  <c r="R27" i="4" s="1"/>
  <c r="U22" i="4"/>
  <c r="R22" i="4" s="1"/>
  <c r="U20" i="4"/>
  <c r="R20" i="4" s="1"/>
  <c r="U18" i="4"/>
  <c r="R18" i="4" s="1"/>
  <c r="U13" i="4"/>
  <c r="U11" i="4"/>
  <c r="U133" i="4"/>
  <c r="U113" i="4"/>
  <c r="U109" i="4"/>
  <c r="U93" i="4"/>
  <c r="U89" i="4"/>
  <c r="U85" i="4"/>
  <c r="U59" i="4"/>
  <c r="U36" i="4"/>
  <c r="U186" i="4"/>
  <c r="U188" i="4"/>
  <c r="U189" i="4"/>
  <c r="U198" i="4"/>
  <c r="N20" i="35"/>
  <c r="N10" i="35" s="1"/>
  <c r="L18" i="4"/>
  <c r="L14" i="4"/>
  <c r="H53" i="35"/>
  <c r="H9" i="35" s="1"/>
  <c r="H221" i="39"/>
  <c r="H93" i="39"/>
  <c r="H24" i="39"/>
  <c r="N306" i="39"/>
  <c r="O306" i="39" s="1"/>
  <c r="H306" i="39"/>
  <c r="H220" i="39"/>
  <c r="H217" i="39"/>
  <c r="U26" i="4"/>
  <c r="R26" i="4" s="1"/>
  <c r="U46" i="4"/>
  <c r="U38" i="4"/>
  <c r="U58" i="4"/>
  <c r="U71" i="4"/>
  <c r="U83" i="4"/>
  <c r="U95" i="4"/>
  <c r="U115" i="4"/>
  <c r="U107" i="4"/>
  <c r="U149" i="4"/>
  <c r="U183" i="4"/>
  <c r="U17" i="4"/>
  <c r="R17" i="4" s="1"/>
  <c r="U30" i="4"/>
  <c r="R30" i="4" s="1"/>
  <c r="U136" i="4"/>
  <c r="U128" i="4"/>
  <c r="U144" i="4"/>
  <c r="U15" i="4"/>
  <c r="R15" i="4" s="1"/>
  <c r="U29" i="4"/>
  <c r="R29" i="4" s="1"/>
  <c r="U43" i="4"/>
  <c r="U35" i="4"/>
  <c r="U57" i="4"/>
  <c r="U112" i="4"/>
  <c r="U104" i="4"/>
  <c r="U135" i="4"/>
  <c r="U127" i="4"/>
  <c r="U143" i="4"/>
  <c r="U162" i="4"/>
  <c r="U42" i="4"/>
  <c r="U34" i="4"/>
  <c r="U111" i="4"/>
  <c r="U118" i="4"/>
  <c r="U61" i="4"/>
  <c r="U74" i="4"/>
  <c r="U66" i="4"/>
  <c r="U87" i="4"/>
  <c r="U190" i="4"/>
  <c r="K212" i="39" l="1"/>
  <c r="U9" i="4"/>
  <c r="L13" i="4"/>
  <c r="R13" i="4"/>
  <c r="R88" i="4"/>
  <c r="R101" i="4"/>
  <c r="I9" i="35"/>
  <c r="L15" i="4"/>
  <c r="L17" i="4"/>
  <c r="H314" i="39"/>
  <c r="N257" i="39"/>
  <c r="O257" i="39" s="1"/>
  <c r="R30" i="37"/>
  <c r="N54" i="37"/>
  <c r="N56" i="37"/>
  <c r="N30" i="37"/>
  <c r="M56" i="35"/>
  <c r="M57" i="35"/>
  <c r="M58" i="35"/>
  <c r="M59" i="35"/>
  <c r="M60" i="35"/>
  <c r="M22" i="35"/>
  <c r="M23" i="35"/>
  <c r="M24" i="35"/>
  <c r="M25" i="35"/>
  <c r="M26" i="35"/>
  <c r="M28" i="35"/>
  <c r="M29" i="35"/>
  <c r="M30" i="35"/>
  <c r="M31" i="35"/>
  <c r="M32" i="35"/>
  <c r="M33" i="35"/>
  <c r="M34" i="35"/>
  <c r="M35" i="35"/>
  <c r="M36" i="35"/>
  <c r="M37" i="35"/>
  <c r="M38" i="35"/>
  <c r="M39" i="35"/>
  <c r="M40" i="35"/>
  <c r="M41" i="35"/>
  <c r="M42" i="35"/>
  <c r="K207" i="4" l="1"/>
  <c r="R65" i="4"/>
  <c r="K81" i="4"/>
  <c r="L81" i="4" s="1"/>
  <c r="K82" i="4"/>
  <c r="L82" i="4" s="1"/>
  <c r="R54" i="4"/>
  <c r="K203" i="4"/>
  <c r="K205" i="4"/>
  <c r="K204" i="4"/>
  <c r="R134" i="4"/>
  <c r="R106" i="4"/>
  <c r="R51" i="4"/>
  <c r="R169" i="4"/>
  <c r="R105" i="4"/>
  <c r="R40" i="4"/>
  <c r="R39" i="4"/>
  <c r="R62" i="4"/>
  <c r="R47" i="4"/>
  <c r="R85" i="4"/>
  <c r="R77" i="4"/>
  <c r="R94" i="4"/>
  <c r="R183" i="4"/>
  <c r="R113" i="4"/>
  <c r="R187" i="4"/>
  <c r="R87" i="4"/>
  <c r="R71" i="4"/>
  <c r="R147" i="4"/>
  <c r="R35" i="4"/>
  <c r="Q35" i="39" s="1"/>
  <c r="R58" i="4"/>
  <c r="R190" i="4"/>
  <c r="R99" i="4"/>
  <c r="R138" i="4"/>
  <c r="R148" i="4"/>
  <c r="R151" i="4"/>
  <c r="R188" i="4"/>
  <c r="R72" i="4"/>
  <c r="R125" i="4"/>
  <c r="R45" i="4"/>
  <c r="R34" i="4"/>
  <c r="Q34" i="39" s="1"/>
  <c r="R132" i="4"/>
  <c r="R37" i="4"/>
  <c r="R184" i="4"/>
  <c r="R86" i="4"/>
  <c r="R49" i="4"/>
  <c r="R42" i="4"/>
  <c r="R139" i="4"/>
  <c r="R60" i="4"/>
  <c r="R76" i="4"/>
  <c r="R136" i="4"/>
  <c r="R75" i="4"/>
  <c r="R109" i="4"/>
  <c r="R59" i="4"/>
  <c r="R104" i="4"/>
  <c r="R95" i="4"/>
  <c r="R124" i="4"/>
  <c r="R70" i="4"/>
  <c r="R131" i="4"/>
  <c r="R145" i="4"/>
  <c r="R52" i="4"/>
  <c r="R123" i="4"/>
  <c r="R112" i="4"/>
  <c r="R111" i="4"/>
  <c r="R142" i="4"/>
  <c r="R141" i="4"/>
  <c r="R118" i="4"/>
  <c r="R100" i="4"/>
  <c r="R110" i="4"/>
  <c r="R128" i="4"/>
  <c r="R97" i="4"/>
  <c r="R182" i="4"/>
  <c r="R67" i="4"/>
  <c r="R93" i="4"/>
  <c r="R122" i="4"/>
  <c r="R68" i="4"/>
  <c r="R115" i="4"/>
  <c r="R61" i="4"/>
  <c r="R90" i="4"/>
  <c r="R44" i="4"/>
  <c r="R36" i="4"/>
  <c r="Q36" i="39" s="1"/>
  <c r="R107" i="4"/>
  <c r="R127" i="4"/>
  <c r="R130" i="4"/>
  <c r="R50" i="4"/>
  <c r="R135" i="4"/>
  <c r="R121" i="4"/>
  <c r="R137" i="4"/>
  <c r="R114" i="4"/>
  <c r="R129" i="4"/>
  <c r="R133" i="4"/>
  <c r="K35" i="4"/>
  <c r="K189" i="4"/>
  <c r="K93" i="4"/>
  <c r="K140" i="4"/>
  <c r="K70" i="4"/>
  <c r="K114" i="4"/>
  <c r="K136" i="4"/>
  <c r="K62" i="4"/>
  <c r="K52" i="4"/>
  <c r="K135" i="4"/>
  <c r="K91" i="4"/>
  <c r="K44" i="4"/>
  <c r="K99" i="4"/>
  <c r="K162" i="4"/>
  <c r="K32" i="4"/>
  <c r="K126" i="4"/>
  <c r="K166" i="4"/>
  <c r="K194" i="4"/>
  <c r="K199" i="4"/>
  <c r="K115" i="4"/>
  <c r="K198" i="4"/>
  <c r="K142" i="4"/>
  <c r="K54" i="4"/>
  <c r="K190" i="4"/>
  <c r="K137" i="4"/>
  <c r="K107" i="4"/>
  <c r="K74" i="4"/>
  <c r="K69" i="4"/>
  <c r="K33" i="4"/>
  <c r="K48" i="4"/>
  <c r="K202" i="4"/>
  <c r="K122" i="4"/>
  <c r="K132" i="4"/>
  <c r="K72" i="4"/>
  <c r="K41" i="4"/>
  <c r="K26" i="4"/>
  <c r="K57" i="4"/>
  <c r="K177" i="4"/>
  <c r="K97" i="4"/>
  <c r="K191" i="4"/>
  <c r="K94" i="4"/>
  <c r="K158" i="4"/>
  <c r="K173" i="4"/>
  <c r="K55" i="4"/>
  <c r="K25" i="4"/>
  <c r="K65" i="4"/>
  <c r="K37" i="4"/>
  <c r="K144" i="4"/>
  <c r="K197" i="4"/>
  <c r="K42" i="4"/>
  <c r="K23" i="4"/>
  <c r="K141" i="4"/>
  <c r="K80" i="4"/>
  <c r="K131" i="4"/>
  <c r="K123" i="4"/>
  <c r="K174" i="4"/>
  <c r="K125" i="4"/>
  <c r="K111" i="4"/>
  <c r="K20" i="4"/>
  <c r="K38" i="4"/>
  <c r="K182" i="4"/>
  <c r="K108" i="4"/>
  <c r="K68" i="4"/>
  <c r="K169" i="4"/>
  <c r="K176" i="4"/>
  <c r="K145" i="4"/>
  <c r="K36" i="4"/>
  <c r="K117" i="4"/>
  <c r="K165" i="4"/>
  <c r="K201" i="4"/>
  <c r="K163" i="4"/>
  <c r="K153" i="4"/>
  <c r="K184" i="4"/>
  <c r="K86" i="4"/>
  <c r="K187" i="4"/>
  <c r="K89" i="4"/>
  <c r="K130" i="4"/>
  <c r="K53" i="4"/>
  <c r="K51" i="4"/>
  <c r="K120" i="4"/>
  <c r="K101" i="4"/>
  <c r="K147" i="4"/>
  <c r="K47" i="4"/>
  <c r="K88" i="4"/>
  <c r="K134" i="4"/>
  <c r="K66" i="4"/>
  <c r="K49" i="4"/>
  <c r="K50" i="4"/>
  <c r="K110" i="4"/>
  <c r="K161" i="4"/>
  <c r="K168" i="4"/>
  <c r="K79" i="4"/>
  <c r="K200" i="4"/>
  <c r="K59" i="4"/>
  <c r="K157" i="4"/>
  <c r="K193" i="4"/>
  <c r="K146" i="4"/>
  <c r="K151" i="4"/>
  <c r="K188" i="4"/>
  <c r="K133" i="4"/>
  <c r="K124" i="4"/>
  <c r="K104" i="4"/>
  <c r="K129" i="4"/>
  <c r="K76" i="4"/>
  <c r="K118" i="4"/>
  <c r="K128" i="4"/>
  <c r="K63" i="4"/>
  <c r="K127" i="4"/>
  <c r="K85" i="4"/>
  <c r="K90" i="4"/>
  <c r="K143" i="4"/>
  <c r="K109" i="4"/>
  <c r="K96" i="4"/>
  <c r="K160" i="4"/>
  <c r="K196" i="4"/>
  <c r="K56" i="4"/>
  <c r="K179" i="4"/>
  <c r="K92" i="4"/>
  <c r="K172" i="4"/>
  <c r="K24" i="4"/>
  <c r="K180" i="4"/>
  <c r="K73" i="4"/>
  <c r="K28" i="4"/>
  <c r="K185" i="4"/>
  <c r="K43" i="4"/>
  <c r="K21" i="4"/>
  <c r="K64" i="4"/>
  <c r="K60" i="4"/>
  <c r="K75" i="4"/>
  <c r="K83" i="4"/>
  <c r="K138" i="4"/>
  <c r="K102" i="4"/>
  <c r="K22" i="4"/>
  <c r="K112" i="4"/>
  <c r="K95" i="4"/>
  <c r="K71" i="4"/>
  <c r="K61" i="4"/>
  <c r="K78" i="4"/>
  <c r="K119" i="4"/>
  <c r="K175" i="4"/>
  <c r="K154" i="4"/>
  <c r="K170" i="4"/>
  <c r="K84" i="4"/>
  <c r="K164" i="4"/>
  <c r="K178" i="4"/>
  <c r="K45" i="4"/>
  <c r="K186" i="4"/>
  <c r="K183" i="4"/>
  <c r="K100" i="4"/>
  <c r="K40" i="4"/>
  <c r="K77" i="4"/>
  <c r="K58" i="4"/>
  <c r="K29" i="4"/>
  <c r="K106" i="4"/>
  <c r="K155" i="4"/>
  <c r="K139" i="4"/>
  <c r="K31" i="4"/>
  <c r="K67" i="4"/>
  <c r="K19" i="4"/>
  <c r="K27" i="4"/>
  <c r="K121" i="4"/>
  <c r="K171" i="4"/>
  <c r="K181" i="4"/>
  <c r="K167" i="4"/>
  <c r="K195" i="4"/>
  <c r="K105" i="4"/>
  <c r="K192" i="4"/>
  <c r="K156" i="4"/>
  <c r="K113" i="4"/>
  <c r="K149" i="4"/>
  <c r="K148" i="4"/>
  <c r="K46" i="4"/>
  <c r="K39" i="4"/>
  <c r="K34" i="4"/>
  <c r="K116" i="4"/>
  <c r="K30" i="4"/>
  <c r="K98" i="4"/>
  <c r="K103" i="4"/>
  <c r="K159" i="4"/>
  <c r="K152" i="4"/>
  <c r="K87" i="4"/>
  <c r="R140" i="4"/>
  <c r="R66" i="4"/>
  <c r="R108" i="4"/>
  <c r="R98" i="4"/>
  <c r="R57" i="4"/>
  <c r="R41" i="4"/>
  <c r="R199" i="4"/>
  <c r="R193" i="4"/>
  <c r="R195" i="4"/>
  <c r="R96" i="4"/>
  <c r="R173" i="4"/>
  <c r="R167" i="4"/>
  <c r="R117" i="4"/>
  <c r="R157" i="4"/>
  <c r="R48" i="4"/>
  <c r="R164" i="4"/>
  <c r="R170" i="4"/>
  <c r="R205" i="4"/>
  <c r="R201" i="4"/>
  <c r="R185" i="4"/>
  <c r="R78" i="4"/>
  <c r="R179" i="4"/>
  <c r="R197" i="4"/>
  <c r="R32" i="4"/>
  <c r="R92" i="4"/>
  <c r="R79" i="4"/>
  <c r="R177" i="4"/>
  <c r="R165" i="4"/>
  <c r="R116" i="4"/>
  <c r="R146" i="4"/>
  <c r="R172" i="4"/>
  <c r="R63" i="4"/>
  <c r="R55" i="4"/>
  <c r="R91" i="4"/>
  <c r="R53" i="4"/>
  <c r="R160" i="4"/>
  <c r="R56" i="4"/>
  <c r="R158" i="4"/>
  <c r="R126" i="4"/>
  <c r="R168" i="4"/>
  <c r="R159" i="4"/>
  <c r="R196" i="4"/>
  <c r="R208" i="4"/>
  <c r="R181" i="4"/>
  <c r="R150" i="4"/>
  <c r="R178" i="4"/>
  <c r="R156" i="4"/>
  <c r="R84" i="4"/>
  <c r="R152" i="4"/>
  <c r="R174" i="4"/>
  <c r="R176" i="4"/>
  <c r="R207" i="4"/>
  <c r="R171" i="4"/>
  <c r="R175" i="4"/>
  <c r="R200" i="4"/>
  <c r="R192" i="4"/>
  <c r="R102" i="4"/>
  <c r="R155" i="4"/>
  <c r="R119" i="4"/>
  <c r="R180" i="4"/>
  <c r="R202" i="4"/>
  <c r="R166" i="4"/>
  <c r="R206" i="4"/>
  <c r="R204" i="4"/>
  <c r="R194" i="4"/>
  <c r="R161" i="4"/>
  <c r="R186" i="4"/>
  <c r="R163" i="4"/>
  <c r="R198" i="4"/>
  <c r="R46" i="4"/>
  <c r="R149" i="4"/>
  <c r="R143" i="4"/>
  <c r="Q284" i="39"/>
  <c r="N42" i="37"/>
  <c r="G164" i="4"/>
  <c r="G165" i="4"/>
  <c r="G166" i="4"/>
  <c r="G152" i="39"/>
  <c r="F152" i="39"/>
  <c r="F52" i="39"/>
  <c r="J81" i="39" l="1"/>
  <c r="K81" i="39" s="1"/>
  <c r="J82" i="39"/>
  <c r="K82" i="39" s="1"/>
  <c r="L183" i="4"/>
  <c r="L182" i="4"/>
  <c r="L185" i="4"/>
  <c r="L186" i="4"/>
  <c r="L188" i="4"/>
  <c r="L187" i="4"/>
  <c r="L184" i="4"/>
  <c r="S181" i="4"/>
  <c r="S79" i="4"/>
  <c r="S180" i="4"/>
  <c r="S126" i="4"/>
  <c r="Q306" i="39"/>
  <c r="S182" i="4"/>
  <c r="S183" i="4"/>
  <c r="S150" i="4"/>
  <c r="J213" i="39"/>
  <c r="J211" i="39" s="1"/>
  <c r="L181" i="4"/>
  <c r="L180" i="4"/>
  <c r="K12" i="4"/>
  <c r="S196" i="4"/>
  <c r="S91" i="4"/>
  <c r="S178" i="4"/>
  <c r="Q209" i="39"/>
  <c r="R209" i="39" s="1"/>
  <c r="S179" i="4"/>
  <c r="S185" i="4"/>
  <c r="S167" i="4"/>
  <c r="H227" i="39"/>
  <c r="H190" i="39"/>
  <c r="H187" i="39"/>
  <c r="G227" i="39"/>
  <c r="F190" i="39"/>
  <c r="G190" i="39"/>
  <c r="G187" i="39"/>
  <c r="F187" i="39"/>
  <c r="P227" i="39"/>
  <c r="P228" i="39"/>
  <c r="K211" i="39" l="1"/>
  <c r="K213" i="39"/>
  <c r="P208" i="39"/>
  <c r="P190" i="39"/>
  <c r="P187" i="39"/>
  <c r="P10" i="4"/>
  <c r="L190" i="39"/>
  <c r="M190" i="39" s="1"/>
  <c r="N227" i="39"/>
  <c r="O227" i="39" s="1"/>
  <c r="N190" i="39"/>
  <c r="O190" i="39" s="1"/>
  <c r="N187" i="39"/>
  <c r="O187" i="39" s="1"/>
  <c r="P13" i="4"/>
  <c r="P11" i="4"/>
  <c r="K61" i="37"/>
  <c r="H98" i="37" l="1"/>
  <c r="N29" i="37"/>
  <c r="N53" i="54" l="1"/>
  <c r="O53" i="54" s="1"/>
  <c r="I58" i="54"/>
  <c r="N58" i="54" s="1"/>
  <c r="O58" i="54" s="1"/>
  <c r="O72" i="54"/>
  <c r="M72" i="54"/>
  <c r="O69" i="54"/>
  <c r="M69" i="54"/>
  <c r="O68" i="54"/>
  <c r="M68" i="54"/>
  <c r="O67" i="54"/>
  <c r="M67" i="54"/>
  <c r="O66" i="54"/>
  <c r="M66" i="54"/>
  <c r="O65" i="54"/>
  <c r="M65" i="54"/>
  <c r="O64" i="54"/>
  <c r="M64" i="54"/>
  <c r="O63" i="54"/>
  <c r="M63" i="54"/>
  <c r="O62" i="54"/>
  <c r="M62" i="54"/>
  <c r="O61" i="54"/>
  <c r="M61" i="54"/>
  <c r="N60" i="54"/>
  <c r="M60" i="54"/>
  <c r="H263" i="39"/>
  <c r="N57" i="54"/>
  <c r="O57" i="54" s="1"/>
  <c r="M57" i="54"/>
  <c r="O56" i="54"/>
  <c r="M56" i="54"/>
  <c r="O55" i="54"/>
  <c r="M55" i="54"/>
  <c r="O54" i="54"/>
  <c r="M54" i="54"/>
  <c r="M53" i="54"/>
  <c r="O52" i="54"/>
  <c r="M52" i="54"/>
  <c r="O51" i="54"/>
  <c r="M51" i="54"/>
  <c r="O50" i="54"/>
  <c r="M50" i="54"/>
  <c r="O49" i="54"/>
  <c r="M49" i="54"/>
  <c r="O48" i="54"/>
  <c r="M48" i="54"/>
  <c r="O47" i="54"/>
  <c r="M47" i="54"/>
  <c r="O46" i="54"/>
  <c r="M46" i="54"/>
  <c r="O45" i="54"/>
  <c r="M45" i="54"/>
  <c r="O44" i="54"/>
  <c r="M44" i="54"/>
  <c r="O43" i="54"/>
  <c r="M43" i="54"/>
  <c r="O42" i="54"/>
  <c r="M42" i="54"/>
  <c r="Q41" i="54"/>
  <c r="O41" i="54"/>
  <c r="M41" i="54"/>
  <c r="Q40" i="54"/>
  <c r="O40" i="54"/>
  <c r="M40" i="54"/>
  <c r="Q39" i="54"/>
  <c r="O39" i="54"/>
  <c r="M39" i="54"/>
  <c r="Q38" i="54"/>
  <c r="O38" i="54"/>
  <c r="M38" i="54"/>
  <c r="Q37" i="54"/>
  <c r="O37" i="54"/>
  <c r="M37" i="54"/>
  <c r="Q36" i="54"/>
  <c r="Q238" i="39" s="1"/>
  <c r="R238" i="39" s="1"/>
  <c r="O36" i="54"/>
  <c r="M36" i="54"/>
  <c r="L35" i="54"/>
  <c r="L34" i="54" s="1"/>
  <c r="I35" i="54"/>
  <c r="H35" i="54"/>
  <c r="I32" i="54"/>
  <c r="H32" i="54"/>
  <c r="H216" i="39" s="1"/>
  <c r="H215" i="39" s="1"/>
  <c r="Q178" i="39"/>
  <c r="Q177" i="39"/>
  <c r="Q169" i="39"/>
  <c r="Q164" i="39"/>
  <c r="L160" i="39"/>
  <c r="M160" i="39" s="1"/>
  <c r="H160" i="39"/>
  <c r="H154" i="39" s="1"/>
  <c r="O58" i="37"/>
  <c r="I283" i="39"/>
  <c r="L281" i="39"/>
  <c r="O22" i="37"/>
  <c r="F98" i="37"/>
  <c r="F95" i="37"/>
  <c r="F94" i="37"/>
  <c r="F93" i="37"/>
  <c r="F92" i="37"/>
  <c r="F91" i="37"/>
  <c r="F90" i="37"/>
  <c r="F87" i="37"/>
  <c r="F86" i="37"/>
  <c r="F85" i="37"/>
  <c r="F84" i="37"/>
  <c r="R61" i="37"/>
  <c r="N61" i="37"/>
  <c r="O61" i="37" s="1"/>
  <c r="M61" i="37"/>
  <c r="M58" i="37"/>
  <c r="H99" i="37"/>
  <c r="H95" i="37"/>
  <c r="L274" i="39"/>
  <c r="I273" i="39"/>
  <c r="H273" i="39"/>
  <c r="H92" i="37"/>
  <c r="L271" i="39"/>
  <c r="H91" i="37"/>
  <c r="O49" i="37"/>
  <c r="H270" i="39"/>
  <c r="H268" i="39"/>
  <c r="G87" i="37"/>
  <c r="H267" i="39"/>
  <c r="H266" i="39"/>
  <c r="N41" i="37"/>
  <c r="O41" i="37" s="1"/>
  <c r="M41" i="37"/>
  <c r="N40" i="37"/>
  <c r="O40" i="37" s="1"/>
  <c r="M40" i="37"/>
  <c r="R34" i="37"/>
  <c r="N34" i="37"/>
  <c r="O34" i="37" s="1"/>
  <c r="M34" i="37"/>
  <c r="Q33" i="37"/>
  <c r="L230" i="39"/>
  <c r="I230" i="39"/>
  <c r="H230" i="39"/>
  <c r="N32" i="37"/>
  <c r="O32" i="37" s="1"/>
  <c r="M32" i="37"/>
  <c r="K32" i="37"/>
  <c r="M21" i="37"/>
  <c r="M17" i="37"/>
  <c r="H195" i="39"/>
  <c r="R63" i="35"/>
  <c r="N63" i="35"/>
  <c r="O63" i="35" s="1"/>
  <c r="M63" i="35"/>
  <c r="Q301" i="39"/>
  <c r="N60" i="35"/>
  <c r="O60" i="35" s="1"/>
  <c r="H301" i="39"/>
  <c r="L300" i="39"/>
  <c r="H300" i="39"/>
  <c r="L299" i="39"/>
  <c r="I299" i="39"/>
  <c r="H299" i="39"/>
  <c r="H298" i="39"/>
  <c r="O41" i="35"/>
  <c r="N36" i="35"/>
  <c r="O36" i="35" s="1"/>
  <c r="L201" i="39"/>
  <c r="M201" i="39" s="1"/>
  <c r="H192" i="39"/>
  <c r="O25" i="35"/>
  <c r="L303" i="39"/>
  <c r="M303" i="39" s="1"/>
  <c r="P200" i="39"/>
  <c r="P189" i="39"/>
  <c r="P159" i="39"/>
  <c r="P152" i="39"/>
  <c r="P138" i="39"/>
  <c r="P117" i="39"/>
  <c r="P92" i="39"/>
  <c r="P84" i="39"/>
  <c r="P63" i="39"/>
  <c r="P32" i="39"/>
  <c r="G198" i="4"/>
  <c r="G197" i="4"/>
  <c r="H228" i="39"/>
  <c r="G169" i="4"/>
  <c r="G147" i="4"/>
  <c r="G145" i="4"/>
  <c r="G143" i="4"/>
  <c r="G142" i="4"/>
  <c r="G141" i="4"/>
  <c r="G140" i="4"/>
  <c r="G138" i="4"/>
  <c r="G137" i="4"/>
  <c r="G135" i="4"/>
  <c r="G134" i="4"/>
  <c r="G133" i="4"/>
  <c r="G132" i="4"/>
  <c r="G130" i="4"/>
  <c r="G129" i="4"/>
  <c r="G128" i="4"/>
  <c r="G127" i="4"/>
  <c r="G125" i="4"/>
  <c r="G124" i="4"/>
  <c r="G122" i="4"/>
  <c r="G121" i="4"/>
  <c r="G119" i="4"/>
  <c r="G118" i="4"/>
  <c r="G117" i="4"/>
  <c r="G115" i="4"/>
  <c r="G114" i="4"/>
  <c r="G113" i="4"/>
  <c r="G111" i="4"/>
  <c r="G110" i="4"/>
  <c r="G109" i="4"/>
  <c r="G108" i="4"/>
  <c r="G107" i="4"/>
  <c r="G106" i="4"/>
  <c r="G105" i="4"/>
  <c r="G104" i="4"/>
  <c r="G102" i="4"/>
  <c r="G101" i="4"/>
  <c r="G100" i="4"/>
  <c r="G99" i="4"/>
  <c r="G98" i="4"/>
  <c r="G97" i="4"/>
  <c r="G96" i="4"/>
  <c r="G95" i="4"/>
  <c r="G94" i="4"/>
  <c r="G92" i="4"/>
  <c r="G90" i="4"/>
  <c r="G88" i="4"/>
  <c r="G86" i="4"/>
  <c r="G85" i="4"/>
  <c r="G77" i="4"/>
  <c r="G76" i="4"/>
  <c r="G75" i="4"/>
  <c r="G72" i="4"/>
  <c r="G71" i="4"/>
  <c r="G70" i="4"/>
  <c r="G65" i="4"/>
  <c r="G62" i="4"/>
  <c r="G61" i="4"/>
  <c r="G59" i="4"/>
  <c r="G58" i="4"/>
  <c r="G53" i="4"/>
  <c r="G52" i="4"/>
  <c r="G51" i="4"/>
  <c r="G50" i="4"/>
  <c r="G49" i="4"/>
  <c r="G48" i="4"/>
  <c r="G47" i="4"/>
  <c r="G46" i="4"/>
  <c r="G45" i="4"/>
  <c r="G44" i="4"/>
  <c r="G41" i="4"/>
  <c r="G40" i="4"/>
  <c r="G39" i="4"/>
  <c r="G36" i="4"/>
  <c r="G35" i="4"/>
  <c r="G34" i="4"/>
  <c r="G32" i="4"/>
  <c r="G31" i="4"/>
  <c r="G30" i="4"/>
  <c r="G28" i="4"/>
  <c r="G27" i="4"/>
  <c r="G22" i="4"/>
  <c r="G21" i="4"/>
  <c r="G20" i="4"/>
  <c r="G19" i="4"/>
  <c r="G18" i="4"/>
  <c r="G17" i="4"/>
  <c r="G15" i="4"/>
  <c r="G14" i="4"/>
  <c r="G13" i="4"/>
  <c r="N307" i="39"/>
  <c r="O307" i="39" s="1"/>
  <c r="L307" i="39"/>
  <c r="M307" i="39" s="1"/>
  <c r="H307" i="39"/>
  <c r="L305" i="39"/>
  <c r="M305" i="39" s="1"/>
  <c r="L304" i="39"/>
  <c r="M304" i="39" s="1"/>
  <c r="L301" i="39"/>
  <c r="I301" i="39"/>
  <c r="F301" i="39"/>
  <c r="I300" i="39"/>
  <c r="F300" i="39"/>
  <c r="F299" i="39"/>
  <c r="L298" i="39"/>
  <c r="I298" i="39"/>
  <c r="F298" i="39"/>
  <c r="I297" i="39"/>
  <c r="F297" i="39"/>
  <c r="F296" i="39"/>
  <c r="F295" i="39"/>
  <c r="L294" i="39"/>
  <c r="M294" i="39" s="1"/>
  <c r="F294" i="39"/>
  <c r="F293" i="39"/>
  <c r="F292" i="39"/>
  <c r="F291" i="39"/>
  <c r="F290" i="39"/>
  <c r="N289" i="39"/>
  <c r="L289" i="39"/>
  <c r="I289" i="39"/>
  <c r="H289" i="39"/>
  <c r="F289" i="39"/>
  <c r="N288" i="39"/>
  <c r="L288" i="39"/>
  <c r="I288" i="39"/>
  <c r="H288" i="39"/>
  <c r="F288" i="39"/>
  <c r="N287" i="39"/>
  <c r="L287" i="39"/>
  <c r="I287" i="39"/>
  <c r="H287" i="39"/>
  <c r="F287" i="39"/>
  <c r="N286" i="39"/>
  <c r="L286" i="39"/>
  <c r="I286" i="39"/>
  <c r="H286" i="39"/>
  <c r="F286" i="39"/>
  <c r="N285" i="39"/>
  <c r="L285" i="39"/>
  <c r="I285" i="39"/>
  <c r="H285" i="39"/>
  <c r="F285" i="39"/>
  <c r="L284" i="39"/>
  <c r="I284" i="39"/>
  <c r="H284" i="39"/>
  <c r="F283" i="39"/>
  <c r="L282" i="39"/>
  <c r="F282" i="39"/>
  <c r="H281" i="39"/>
  <c r="G281" i="39"/>
  <c r="N280" i="39"/>
  <c r="L280" i="39"/>
  <c r="I280" i="39"/>
  <c r="H280" i="39"/>
  <c r="F280" i="39"/>
  <c r="N279" i="39"/>
  <c r="L279" i="39"/>
  <c r="I279" i="39"/>
  <c r="H279" i="39"/>
  <c r="F279" i="39"/>
  <c r="F278" i="39"/>
  <c r="N277" i="39"/>
  <c r="L277" i="39"/>
  <c r="I277" i="39"/>
  <c r="H277" i="39"/>
  <c r="F277" i="39"/>
  <c r="F276" i="39"/>
  <c r="L275" i="39"/>
  <c r="I275" i="39"/>
  <c r="G275" i="39"/>
  <c r="G274" i="39"/>
  <c r="G273" i="39"/>
  <c r="L272" i="39"/>
  <c r="I272" i="39"/>
  <c r="G272" i="39"/>
  <c r="I271" i="39"/>
  <c r="H271" i="39"/>
  <c r="G271" i="39"/>
  <c r="L270" i="39"/>
  <c r="I270" i="39"/>
  <c r="G270" i="39"/>
  <c r="L268" i="39"/>
  <c r="I267" i="39"/>
  <c r="G267" i="39"/>
  <c r="G266" i="39"/>
  <c r="L265" i="39"/>
  <c r="G265" i="39"/>
  <c r="L263" i="39"/>
  <c r="F263" i="39"/>
  <c r="L261" i="39"/>
  <c r="I261" i="39"/>
  <c r="F261" i="39"/>
  <c r="F260" i="39"/>
  <c r="F259" i="39"/>
  <c r="F258" i="39"/>
  <c r="L256" i="39"/>
  <c r="I256" i="39"/>
  <c r="F256" i="39"/>
  <c r="L255" i="39"/>
  <c r="I255" i="39"/>
  <c r="H255" i="39"/>
  <c r="G255" i="39"/>
  <c r="F255" i="39"/>
  <c r="F254" i="39"/>
  <c r="I253" i="39"/>
  <c r="F253" i="39"/>
  <c r="N252" i="39"/>
  <c r="O252" i="39" s="1"/>
  <c r="L252" i="39"/>
  <c r="M252" i="39" s="1"/>
  <c r="H252" i="39"/>
  <c r="F252" i="39"/>
  <c r="N251" i="39"/>
  <c r="L251" i="39"/>
  <c r="I251" i="39"/>
  <c r="H251" i="39"/>
  <c r="F251" i="39"/>
  <c r="N250" i="39"/>
  <c r="L250" i="39"/>
  <c r="I250" i="39"/>
  <c r="H250" i="39"/>
  <c r="F250" i="39"/>
  <c r="N249" i="39"/>
  <c r="L249" i="39"/>
  <c r="I249" i="39"/>
  <c r="H249" i="39"/>
  <c r="F249" i="39"/>
  <c r="N248" i="39"/>
  <c r="L248" i="39"/>
  <c r="I248" i="39"/>
  <c r="H248" i="39"/>
  <c r="F248" i="39"/>
  <c r="N247" i="39"/>
  <c r="L247" i="39"/>
  <c r="I247" i="39"/>
  <c r="H247" i="39"/>
  <c r="F247" i="39"/>
  <c r="N246" i="39"/>
  <c r="I246" i="39"/>
  <c r="M246" i="39" s="1"/>
  <c r="H246" i="39"/>
  <c r="F246" i="39"/>
  <c r="N245" i="39"/>
  <c r="L245" i="39"/>
  <c r="I245" i="39"/>
  <c r="H245" i="39"/>
  <c r="F245" i="39"/>
  <c r="N244" i="39"/>
  <c r="L244" i="39"/>
  <c r="I244" i="39"/>
  <c r="H244" i="39"/>
  <c r="F244" i="39"/>
  <c r="N243" i="39"/>
  <c r="L243" i="39"/>
  <c r="I243" i="39"/>
  <c r="F243" i="39"/>
  <c r="N242" i="39"/>
  <c r="L242" i="39"/>
  <c r="I242" i="39"/>
  <c r="H242" i="39"/>
  <c r="F242" i="39"/>
  <c r="N241" i="39"/>
  <c r="L241" i="39"/>
  <c r="I241" i="39"/>
  <c r="H241" i="39"/>
  <c r="F241" i="39"/>
  <c r="N240" i="39"/>
  <c r="L240" i="39"/>
  <c r="I240" i="39"/>
  <c r="H240" i="39"/>
  <c r="F240" i="39"/>
  <c r="N239" i="39"/>
  <c r="L239" i="39"/>
  <c r="I239" i="39"/>
  <c r="H239" i="39"/>
  <c r="F239" i="39"/>
  <c r="N238" i="39"/>
  <c r="O238" i="39" s="1"/>
  <c r="L238" i="39"/>
  <c r="M238" i="39" s="1"/>
  <c r="H238" i="39"/>
  <c r="F238" i="39"/>
  <c r="H233" i="39"/>
  <c r="H232" i="39"/>
  <c r="Q230" i="39"/>
  <c r="R230" i="39" s="1"/>
  <c r="G230" i="39"/>
  <c r="B230" i="39"/>
  <c r="G226" i="39"/>
  <c r="N225" i="39"/>
  <c r="O225" i="39" s="1"/>
  <c r="G223" i="39"/>
  <c r="G222" i="39"/>
  <c r="N208" i="39"/>
  <c r="O208" i="39" s="1"/>
  <c r="G208" i="39"/>
  <c r="F208" i="39"/>
  <c r="N205" i="39"/>
  <c r="O205" i="39" s="1"/>
  <c r="F202" i="39"/>
  <c r="H201" i="39"/>
  <c r="F201" i="39"/>
  <c r="H200" i="39"/>
  <c r="F200" i="39"/>
  <c r="P199" i="39"/>
  <c r="F199" i="39"/>
  <c r="F198" i="39"/>
  <c r="F196" i="39"/>
  <c r="F195" i="39"/>
  <c r="P194" i="39"/>
  <c r="G194" i="39"/>
  <c r="F191" i="39"/>
  <c r="N189" i="39"/>
  <c r="O189" i="39" s="1"/>
  <c r="L189" i="39"/>
  <c r="M189" i="39" s="1"/>
  <c r="F189" i="39"/>
  <c r="F188" i="39"/>
  <c r="I188" i="39" s="1"/>
  <c r="F186" i="39"/>
  <c r="P184" i="39"/>
  <c r="L184" i="39"/>
  <c r="M184" i="39" s="1"/>
  <c r="J184" i="39"/>
  <c r="K184" i="39" s="1"/>
  <c r="H184" i="39"/>
  <c r="L183" i="39"/>
  <c r="M183" i="39" s="1"/>
  <c r="P182" i="39"/>
  <c r="L182" i="39"/>
  <c r="M182" i="39" s="1"/>
  <c r="J182" i="39"/>
  <c r="K182" i="39" s="1"/>
  <c r="H182" i="39"/>
  <c r="P181" i="39"/>
  <c r="L181" i="39"/>
  <c r="M181" i="39" s="1"/>
  <c r="J181" i="39"/>
  <c r="K181" i="39" s="1"/>
  <c r="H181" i="39"/>
  <c r="P180" i="39"/>
  <c r="L180" i="39"/>
  <c r="M180" i="39" s="1"/>
  <c r="J180" i="39"/>
  <c r="K180" i="39" s="1"/>
  <c r="H180" i="39"/>
  <c r="P179" i="39"/>
  <c r="L179" i="39"/>
  <c r="M179" i="39" s="1"/>
  <c r="J179" i="39"/>
  <c r="K179" i="39" s="1"/>
  <c r="H179" i="39"/>
  <c r="P178" i="39"/>
  <c r="L178" i="39"/>
  <c r="M178" i="39" s="1"/>
  <c r="J178" i="39"/>
  <c r="K178" i="39" s="1"/>
  <c r="H178" i="39"/>
  <c r="P177" i="39"/>
  <c r="L177" i="39"/>
  <c r="M177" i="39" s="1"/>
  <c r="J177" i="39"/>
  <c r="K177" i="39" s="1"/>
  <c r="H177" i="39"/>
  <c r="P176" i="39"/>
  <c r="L176" i="39"/>
  <c r="M176" i="39" s="1"/>
  <c r="J176" i="39"/>
  <c r="K176" i="39" s="1"/>
  <c r="H176" i="39"/>
  <c r="P175" i="39"/>
  <c r="L175" i="39"/>
  <c r="M175" i="39" s="1"/>
  <c r="J175" i="39"/>
  <c r="K175" i="39" s="1"/>
  <c r="H175" i="39"/>
  <c r="P174" i="39"/>
  <c r="L174" i="39"/>
  <c r="M174" i="39" s="1"/>
  <c r="J174" i="39"/>
  <c r="K174" i="39" s="1"/>
  <c r="H174" i="39"/>
  <c r="P173" i="39"/>
  <c r="L173" i="39"/>
  <c r="M173" i="39" s="1"/>
  <c r="J173" i="39"/>
  <c r="K173" i="39" s="1"/>
  <c r="H173" i="39"/>
  <c r="P172" i="39"/>
  <c r="L172" i="39"/>
  <c r="M172" i="39" s="1"/>
  <c r="J172" i="39"/>
  <c r="K172" i="39" s="1"/>
  <c r="H172" i="39"/>
  <c r="P171" i="39"/>
  <c r="L171" i="39"/>
  <c r="M171" i="39" s="1"/>
  <c r="J171" i="39"/>
  <c r="K171" i="39" s="1"/>
  <c r="H171" i="39"/>
  <c r="P170" i="39"/>
  <c r="L170" i="39"/>
  <c r="M170" i="39" s="1"/>
  <c r="J170" i="39"/>
  <c r="K170" i="39" s="1"/>
  <c r="H170" i="39"/>
  <c r="P169" i="39"/>
  <c r="L169" i="39"/>
  <c r="M169" i="39" s="1"/>
  <c r="J169" i="39"/>
  <c r="K169" i="39" s="1"/>
  <c r="H169" i="39"/>
  <c r="P168" i="39"/>
  <c r="N168" i="39"/>
  <c r="O168" i="39" s="1"/>
  <c r="P167" i="39"/>
  <c r="L167" i="39"/>
  <c r="M167" i="39" s="1"/>
  <c r="J167" i="39"/>
  <c r="K167" i="39" s="1"/>
  <c r="H167" i="39"/>
  <c r="P166" i="39"/>
  <c r="L166" i="39"/>
  <c r="M166" i="39" s="1"/>
  <c r="J166" i="39"/>
  <c r="K166" i="39" s="1"/>
  <c r="H166" i="39"/>
  <c r="P165" i="39"/>
  <c r="L165" i="39"/>
  <c r="M165" i="39" s="1"/>
  <c r="J165" i="39"/>
  <c r="K165" i="39" s="1"/>
  <c r="H165" i="39"/>
  <c r="P164" i="39"/>
  <c r="N164" i="39"/>
  <c r="O164" i="39" s="1"/>
  <c r="P162" i="39"/>
  <c r="P161" i="39"/>
  <c r="P160" i="39"/>
  <c r="N160" i="39"/>
  <c r="O160" i="39" s="1"/>
  <c r="J160" i="39"/>
  <c r="K160" i="39" s="1"/>
  <c r="N159" i="39"/>
  <c r="O159" i="39" s="1"/>
  <c r="L159" i="39"/>
  <c r="M159" i="39" s="1"/>
  <c r="P158" i="39"/>
  <c r="P157" i="39"/>
  <c r="L155" i="39"/>
  <c r="G155" i="39"/>
  <c r="F147" i="39"/>
  <c r="F146" i="39"/>
  <c r="F145" i="39"/>
  <c r="F143" i="39"/>
  <c r="F142" i="39"/>
  <c r="F141" i="39"/>
  <c r="F140" i="39"/>
  <c r="H138" i="39"/>
  <c r="F138" i="39"/>
  <c r="F137" i="39"/>
  <c r="F135" i="39"/>
  <c r="F134" i="39"/>
  <c r="F133" i="39"/>
  <c r="F132" i="39"/>
  <c r="F130" i="39"/>
  <c r="F129" i="39"/>
  <c r="F128" i="39"/>
  <c r="F127" i="39"/>
  <c r="F125" i="39"/>
  <c r="F124" i="39"/>
  <c r="F122" i="39"/>
  <c r="F121" i="39"/>
  <c r="P119" i="39"/>
  <c r="F117" i="39"/>
  <c r="F116" i="39"/>
  <c r="G115" i="39"/>
  <c r="F114" i="39"/>
  <c r="F113" i="39"/>
  <c r="F111" i="39"/>
  <c r="F110" i="39"/>
  <c r="F109" i="39"/>
  <c r="F108" i="39"/>
  <c r="F107" i="39"/>
  <c r="F106" i="39"/>
  <c r="F105" i="39"/>
  <c r="F104" i="39"/>
  <c r="F102" i="39"/>
  <c r="F101" i="39"/>
  <c r="F100" i="39"/>
  <c r="F99" i="39"/>
  <c r="F98" i="39"/>
  <c r="F97" i="39"/>
  <c r="F96" i="39"/>
  <c r="F95" i="39"/>
  <c r="H94" i="39"/>
  <c r="F94" i="39"/>
  <c r="H92" i="39"/>
  <c r="F92" i="39"/>
  <c r="F90" i="39"/>
  <c r="F88" i="39"/>
  <c r="F86" i="39"/>
  <c r="F85" i="39"/>
  <c r="F84" i="39"/>
  <c r="N78" i="39"/>
  <c r="H78" i="39"/>
  <c r="N77" i="39"/>
  <c r="F77" i="39"/>
  <c r="F76" i="39"/>
  <c r="F75" i="39"/>
  <c r="F72" i="39"/>
  <c r="F71" i="39"/>
  <c r="F70" i="39"/>
  <c r="F67" i="39"/>
  <c r="F66" i="39"/>
  <c r="F65" i="39"/>
  <c r="F63" i="39"/>
  <c r="F62" i="39"/>
  <c r="F61" i="39"/>
  <c r="F59" i="39"/>
  <c r="F58" i="39"/>
  <c r="F56" i="39"/>
  <c r="F55" i="39"/>
  <c r="F54" i="39"/>
  <c r="F53" i="39"/>
  <c r="F51" i="39"/>
  <c r="F50" i="39"/>
  <c r="F49" i="39"/>
  <c r="F48" i="39"/>
  <c r="F47" i="39"/>
  <c r="F46" i="39"/>
  <c r="F45" i="39"/>
  <c r="F44" i="39"/>
  <c r="F41" i="39"/>
  <c r="F40" i="39"/>
  <c r="F39" i="39"/>
  <c r="F37" i="39"/>
  <c r="F36" i="39"/>
  <c r="F35" i="39"/>
  <c r="F34" i="39"/>
  <c r="N32" i="39"/>
  <c r="F32" i="39"/>
  <c r="F31" i="39"/>
  <c r="F30" i="39"/>
  <c r="F28" i="39"/>
  <c r="F27" i="39"/>
  <c r="F25" i="39"/>
  <c r="F24" i="39"/>
  <c r="F23" i="39"/>
  <c r="F22" i="39"/>
  <c r="F21" i="39"/>
  <c r="F20" i="39"/>
  <c r="F19" i="39"/>
  <c r="F18" i="39"/>
  <c r="F17" i="39"/>
  <c r="F15" i="39"/>
  <c r="F14" i="39"/>
  <c r="F13" i="39"/>
  <c r="H44" i="39" l="1"/>
  <c r="H127" i="39"/>
  <c r="M230" i="39"/>
  <c r="M155" i="39"/>
  <c r="L154" i="39"/>
  <c r="M154" i="39" s="1"/>
  <c r="H149" i="39"/>
  <c r="H148" i="39" s="1"/>
  <c r="M299" i="39"/>
  <c r="M241" i="39"/>
  <c r="M251" i="39"/>
  <c r="O241" i="39"/>
  <c r="O245" i="39"/>
  <c r="M247" i="39"/>
  <c r="M280" i="39"/>
  <c r="O287" i="39"/>
  <c r="O242" i="39"/>
  <c r="O247" i="39"/>
  <c r="O251" i="39"/>
  <c r="O280" i="39"/>
  <c r="R164" i="39"/>
  <c r="M275" i="39"/>
  <c r="R178" i="39"/>
  <c r="M242" i="39"/>
  <c r="R177" i="39"/>
  <c r="M285" i="39"/>
  <c r="M301" i="39"/>
  <c r="O285" i="39"/>
  <c r="O289" i="39"/>
  <c r="M250" i="39"/>
  <c r="M279" i="39"/>
  <c r="O246" i="39"/>
  <c r="O250" i="39"/>
  <c r="O279" i="39"/>
  <c r="M286" i="39"/>
  <c r="M255" i="39"/>
  <c r="M289" i="39"/>
  <c r="O286" i="39"/>
  <c r="M243" i="39"/>
  <c r="M239" i="39"/>
  <c r="O243" i="39"/>
  <c r="M261" i="39"/>
  <c r="O239" i="39"/>
  <c r="M287" i="39"/>
  <c r="R169" i="39"/>
  <c r="O244" i="39"/>
  <c r="M284" i="39"/>
  <c r="O288" i="39"/>
  <c r="M249" i="39"/>
  <c r="O277" i="39"/>
  <c r="M248" i="39"/>
  <c r="M244" i="39"/>
  <c r="O248" i="39"/>
  <c r="M240" i="39"/>
  <c r="M253" i="39"/>
  <c r="O253" i="39"/>
  <c r="K253" i="39"/>
  <c r="M298" i="39"/>
  <c r="O240" i="39"/>
  <c r="M288" i="39"/>
  <c r="M277" i="39"/>
  <c r="M245" i="39"/>
  <c r="O249" i="39"/>
  <c r="I216" i="39"/>
  <c r="I215" i="39" s="1"/>
  <c r="M32" i="54"/>
  <c r="M256" i="39"/>
  <c r="M272" i="39"/>
  <c r="M271" i="39"/>
  <c r="M270" i="39"/>
  <c r="M300" i="39"/>
  <c r="M188" i="39"/>
  <c r="N63" i="39"/>
  <c r="L63" i="39"/>
  <c r="N16" i="39"/>
  <c r="N17" i="39"/>
  <c r="P198" i="39"/>
  <c r="P233" i="39"/>
  <c r="P232" i="39" s="1"/>
  <c r="P231" i="39" s="1"/>
  <c r="P266" i="39"/>
  <c r="P271" i="39"/>
  <c r="P51" i="39"/>
  <c r="P145" i="39"/>
  <c r="P267" i="39"/>
  <c r="P58" i="54"/>
  <c r="I296" i="39"/>
  <c r="P273" i="39"/>
  <c r="P275" i="39"/>
  <c r="P70" i="39"/>
  <c r="P108" i="39"/>
  <c r="P265" i="39"/>
  <c r="I237" i="39"/>
  <c r="R22" i="37"/>
  <c r="P282" i="39"/>
  <c r="P270" i="39"/>
  <c r="P134" i="39"/>
  <c r="P195" i="39"/>
  <c r="P274" i="39"/>
  <c r="P281" i="39"/>
  <c r="L28" i="39"/>
  <c r="L53" i="39"/>
  <c r="I104" i="39"/>
  <c r="I134" i="39"/>
  <c r="L35" i="39"/>
  <c r="I137" i="39"/>
  <c r="L36" i="39"/>
  <c r="I90" i="39"/>
  <c r="I138" i="39"/>
  <c r="L58" i="39"/>
  <c r="L59" i="39"/>
  <c r="I63" i="39"/>
  <c r="I135" i="39"/>
  <c r="L37" i="39"/>
  <c r="I92" i="39"/>
  <c r="I113" i="39"/>
  <c r="M113" i="39" s="1"/>
  <c r="L39" i="39"/>
  <c r="I114" i="39"/>
  <c r="M114" i="39" s="1"/>
  <c r="I140" i="39"/>
  <c r="L30" i="39"/>
  <c r="L47" i="39"/>
  <c r="L71" i="39"/>
  <c r="I98" i="39"/>
  <c r="I122" i="39"/>
  <c r="I147" i="39"/>
  <c r="L78" i="39"/>
  <c r="I151" i="39"/>
  <c r="I93" i="39"/>
  <c r="I149" i="39"/>
  <c r="I148" i="39" s="1"/>
  <c r="I115" i="39"/>
  <c r="M115" i="39" s="1"/>
  <c r="I78" i="39"/>
  <c r="I118" i="39"/>
  <c r="M118" i="39" s="1"/>
  <c r="I119" i="39"/>
  <c r="M119" i="39" s="1"/>
  <c r="I16" i="39"/>
  <c r="L16" i="39"/>
  <c r="J16" i="39"/>
  <c r="I68" i="39"/>
  <c r="L52" i="39"/>
  <c r="L48" i="39"/>
  <c r="L72" i="39"/>
  <c r="I99" i="39"/>
  <c r="L54" i="39"/>
  <c r="L49" i="39"/>
  <c r="L75" i="39"/>
  <c r="I100" i="39"/>
  <c r="I132" i="39"/>
  <c r="I133" i="39"/>
  <c r="L40" i="39"/>
  <c r="I94" i="39"/>
  <c r="L66" i="39"/>
  <c r="I142" i="39"/>
  <c r="L44" i="39"/>
  <c r="I117" i="39"/>
  <c r="M117" i="39" s="1"/>
  <c r="I198" i="39"/>
  <c r="M198" i="39" s="1"/>
  <c r="L46" i="39"/>
  <c r="I97" i="39"/>
  <c r="I25" i="39"/>
  <c r="L50" i="39"/>
  <c r="L76" i="39"/>
  <c r="I101" i="39"/>
  <c r="L225" i="39"/>
  <c r="M225" i="39" s="1"/>
  <c r="L31" i="39"/>
  <c r="I84" i="39"/>
  <c r="L65" i="39"/>
  <c r="I141" i="39"/>
  <c r="L41" i="39"/>
  <c r="I116" i="39"/>
  <c r="M116" i="39" s="1"/>
  <c r="L67" i="39"/>
  <c r="I95" i="39"/>
  <c r="I143" i="39"/>
  <c r="L45" i="39"/>
  <c r="I96" i="39"/>
  <c r="L70" i="39"/>
  <c r="I121" i="39"/>
  <c r="L27" i="39"/>
  <c r="L51" i="39"/>
  <c r="I102" i="39"/>
  <c r="I34" i="39"/>
  <c r="L34" i="39"/>
  <c r="I61" i="39"/>
  <c r="L61" i="39"/>
  <c r="L13" i="39"/>
  <c r="J13" i="39"/>
  <c r="I62" i="39"/>
  <c r="L62" i="39"/>
  <c r="I14" i="39"/>
  <c r="L14" i="39"/>
  <c r="I19" i="39"/>
  <c r="L19" i="39"/>
  <c r="I20" i="39"/>
  <c r="L20" i="39"/>
  <c r="I22" i="39"/>
  <c r="L22" i="39"/>
  <c r="I15" i="39"/>
  <c r="L15" i="39"/>
  <c r="I17" i="39"/>
  <c r="L17" i="39"/>
  <c r="I23" i="39"/>
  <c r="L23" i="39"/>
  <c r="I18" i="39"/>
  <c r="L18" i="39"/>
  <c r="I24" i="39"/>
  <c r="L24" i="39"/>
  <c r="I21" i="39"/>
  <c r="L21" i="39"/>
  <c r="I77" i="39"/>
  <c r="L77" i="39"/>
  <c r="I186" i="39"/>
  <c r="L186" i="39"/>
  <c r="I55" i="39"/>
  <c r="I45" i="39"/>
  <c r="I46" i="39"/>
  <c r="I47" i="39"/>
  <c r="I49" i="39"/>
  <c r="I52" i="39"/>
  <c r="I53" i="39"/>
  <c r="I56" i="39"/>
  <c r="I44" i="39"/>
  <c r="I48" i="39"/>
  <c r="I50" i="39"/>
  <c r="I51" i="39"/>
  <c r="I54" i="39"/>
  <c r="I13" i="39"/>
  <c r="H13" i="39"/>
  <c r="I35" i="39"/>
  <c r="I59" i="39"/>
  <c r="I40" i="39"/>
  <c r="I39" i="39"/>
  <c r="I66" i="39"/>
  <c r="I58" i="39"/>
  <c r="I65" i="39"/>
  <c r="I67" i="39"/>
  <c r="I70" i="39"/>
  <c r="I71" i="39"/>
  <c r="I72" i="39"/>
  <c r="I75" i="39"/>
  <c r="I37" i="39"/>
  <c r="I146" i="39"/>
  <c r="L227" i="39"/>
  <c r="M227" i="39" s="1"/>
  <c r="H16" i="39"/>
  <c r="I85" i="39"/>
  <c r="L226" i="39"/>
  <c r="M226" i="39" s="1"/>
  <c r="I127" i="39"/>
  <c r="I88" i="39"/>
  <c r="I87" i="39" s="1"/>
  <c r="I106" i="39"/>
  <c r="I86" i="39"/>
  <c r="I128" i="39"/>
  <c r="I105" i="39"/>
  <c r="I129" i="39"/>
  <c r="I111" i="39"/>
  <c r="I124" i="39"/>
  <c r="I110" i="39"/>
  <c r="I145" i="39"/>
  <c r="I125" i="39"/>
  <c r="I108" i="39"/>
  <c r="I130" i="39"/>
  <c r="I107" i="39"/>
  <c r="I109" i="39"/>
  <c r="I31" i="39"/>
  <c r="I76" i="39"/>
  <c r="I36" i="39"/>
  <c r="I41" i="39"/>
  <c r="I32" i="39"/>
  <c r="I34" i="54"/>
  <c r="H17" i="39"/>
  <c r="J17" i="39"/>
  <c r="R60" i="54"/>
  <c r="N294" i="39"/>
  <c r="O294" i="39" s="1"/>
  <c r="O60" i="54"/>
  <c r="R25" i="35"/>
  <c r="P192" i="39"/>
  <c r="I203" i="39"/>
  <c r="M203" i="39" s="1"/>
  <c r="P55" i="39"/>
  <c r="P151" i="39"/>
  <c r="P204" i="39"/>
  <c r="P135" i="39"/>
  <c r="P148" i="39"/>
  <c r="P207" i="39"/>
  <c r="P25" i="39"/>
  <c r="P46" i="39"/>
  <c r="P58" i="39"/>
  <c r="P18" i="39"/>
  <c r="P128" i="39"/>
  <c r="P132" i="39"/>
  <c r="P137" i="39"/>
  <c r="P136" i="39" s="1"/>
  <c r="P13" i="39"/>
  <c r="P37" i="39"/>
  <c r="P41" i="39"/>
  <c r="P78" i="39"/>
  <c r="P147" i="39"/>
  <c r="P149" i="39"/>
  <c r="P186" i="39"/>
  <c r="P118" i="39"/>
  <c r="P129" i="39"/>
  <c r="P133" i="39"/>
  <c r="P14" i="39"/>
  <c r="P31" i="39"/>
  <c r="P36" i="39"/>
  <c r="P44" i="39"/>
  <c r="P48" i="39"/>
  <c r="P77" i="39"/>
  <c r="P99" i="39"/>
  <c r="P130" i="39"/>
  <c r="P17" i="39"/>
  <c r="P225" i="39"/>
  <c r="P283" i="39"/>
  <c r="P272" i="39"/>
  <c r="P226" i="39"/>
  <c r="P22" i="39"/>
  <c r="P76" i="39"/>
  <c r="P303" i="39"/>
  <c r="P304" i="39"/>
  <c r="P294" i="39"/>
  <c r="R294" i="39" s="1"/>
  <c r="P255" i="39"/>
  <c r="P237" i="39" s="1"/>
  <c r="Q11" i="35"/>
  <c r="Q183" i="39"/>
  <c r="P300" i="39"/>
  <c r="P297" i="39"/>
  <c r="P301" i="39"/>
  <c r="R301" i="39" s="1"/>
  <c r="P298" i="39"/>
  <c r="P299" i="39"/>
  <c r="P263" i="39"/>
  <c r="P127" i="39"/>
  <c r="H272" i="39"/>
  <c r="H283" i="39"/>
  <c r="H297" i="39"/>
  <c r="H296" i="39" s="1"/>
  <c r="H274" i="39"/>
  <c r="H275" i="39"/>
  <c r="H282" i="39"/>
  <c r="H294" i="39"/>
  <c r="L9" i="54"/>
  <c r="N256" i="39"/>
  <c r="O256" i="39" s="1"/>
  <c r="H231" i="39"/>
  <c r="H226" i="39"/>
  <c r="H198" i="39"/>
  <c r="H225" i="39"/>
  <c r="H55" i="39"/>
  <c r="H77" i="39"/>
  <c r="J11" i="35"/>
  <c r="Q263" i="39"/>
  <c r="N261" i="39"/>
  <c r="O261" i="39" s="1"/>
  <c r="R36" i="54"/>
  <c r="R38" i="54"/>
  <c r="R40" i="54"/>
  <c r="R40" i="37"/>
  <c r="P201" i="39"/>
  <c r="N284" i="39"/>
  <c r="O284" i="39" s="1"/>
  <c r="N270" i="39"/>
  <c r="O270" i="39" s="1"/>
  <c r="Q234" i="39"/>
  <c r="R234" i="39" s="1"/>
  <c r="N177" i="39"/>
  <c r="O177" i="39" s="1"/>
  <c r="I263" i="39"/>
  <c r="M263" i="39" s="1"/>
  <c r="N59" i="54"/>
  <c r="M59" i="54"/>
  <c r="H58" i="54"/>
  <c r="H34" i="54" s="1"/>
  <c r="H9" i="54" s="1"/>
  <c r="N174" i="39"/>
  <c r="O174" i="39" s="1"/>
  <c r="N207" i="39"/>
  <c r="O207" i="39" s="1"/>
  <c r="M31" i="37"/>
  <c r="N39" i="37"/>
  <c r="O39" i="37" s="1"/>
  <c r="M52" i="37"/>
  <c r="O19" i="37"/>
  <c r="N274" i="39"/>
  <c r="I87" i="37"/>
  <c r="M54" i="37"/>
  <c r="M46" i="37"/>
  <c r="I265" i="39"/>
  <c r="M265" i="39" s="1"/>
  <c r="M44" i="37"/>
  <c r="H87" i="37"/>
  <c r="I268" i="39"/>
  <c r="M268" i="39" s="1"/>
  <c r="M57" i="37"/>
  <c r="L283" i="39"/>
  <c r="M283" i="39" s="1"/>
  <c r="I282" i="39"/>
  <c r="M282" i="39" s="1"/>
  <c r="M15" i="37"/>
  <c r="L195" i="39"/>
  <c r="M195" i="39" s="1"/>
  <c r="M51" i="37"/>
  <c r="Q281" i="39"/>
  <c r="L196" i="39"/>
  <c r="M196" i="39" s="1"/>
  <c r="R57" i="37"/>
  <c r="L273" i="39"/>
  <c r="M273" i="39" s="1"/>
  <c r="K21" i="37"/>
  <c r="L267" i="39"/>
  <c r="M267" i="39" s="1"/>
  <c r="R33" i="37"/>
  <c r="M39" i="37"/>
  <c r="N31" i="37"/>
  <c r="O31" i="37" s="1"/>
  <c r="O18" i="37"/>
  <c r="M20" i="37"/>
  <c r="I93" i="37"/>
  <c r="K54" i="37"/>
  <c r="H94" i="37"/>
  <c r="I266" i="39"/>
  <c r="I274" i="39"/>
  <c r="M274" i="39" s="1"/>
  <c r="M22" i="37"/>
  <c r="M50" i="37"/>
  <c r="M53" i="37"/>
  <c r="Q265" i="39"/>
  <c r="N36" i="37"/>
  <c r="H265" i="39"/>
  <c r="I281" i="39"/>
  <c r="M281" i="39" s="1"/>
  <c r="R21" i="37"/>
  <c r="K22" i="37"/>
  <c r="M29" i="37"/>
  <c r="M30" i="37"/>
  <c r="R17" i="37"/>
  <c r="M49" i="37"/>
  <c r="M56" i="37"/>
  <c r="I86" i="37"/>
  <c r="H93" i="37"/>
  <c r="I94" i="37"/>
  <c r="N180" i="39"/>
  <c r="O180" i="39" s="1"/>
  <c r="I90" i="37"/>
  <c r="N173" i="39"/>
  <c r="O173" i="39" s="1"/>
  <c r="M45" i="37"/>
  <c r="L266" i="39"/>
  <c r="K20" i="37"/>
  <c r="M47" i="37"/>
  <c r="K55" i="37"/>
  <c r="K15" i="37"/>
  <c r="O21" i="37"/>
  <c r="N182" i="39"/>
  <c r="O182" i="39" s="1"/>
  <c r="J265" i="39"/>
  <c r="M18" i="37"/>
  <c r="M19" i="37"/>
  <c r="M55" i="37"/>
  <c r="N60" i="37"/>
  <c r="K19" i="37"/>
  <c r="K17" i="37"/>
  <c r="M36" i="37"/>
  <c r="R41" i="37"/>
  <c r="I91" i="37"/>
  <c r="L149" i="39"/>
  <c r="K18" i="37"/>
  <c r="R20" i="37"/>
  <c r="Q275" i="39"/>
  <c r="O20" i="37"/>
  <c r="O50" i="37"/>
  <c r="Q272" i="39"/>
  <c r="O17" i="37"/>
  <c r="K51" i="37"/>
  <c r="I85" i="37"/>
  <c r="P35" i="54"/>
  <c r="M33" i="37"/>
  <c r="N33" i="37"/>
  <c r="Q167" i="39"/>
  <c r="R167" i="39" s="1"/>
  <c r="Q173" i="39"/>
  <c r="R173" i="39" s="1"/>
  <c r="Q179" i="39"/>
  <c r="R179" i="39" s="1"/>
  <c r="Q184" i="39"/>
  <c r="R184" i="39" s="1"/>
  <c r="Q175" i="39"/>
  <c r="R175" i="39" s="1"/>
  <c r="Q181" i="39"/>
  <c r="R181" i="39" s="1"/>
  <c r="Q165" i="39"/>
  <c r="R165" i="39" s="1"/>
  <c r="Q171" i="39"/>
  <c r="R171" i="39" s="1"/>
  <c r="N35" i="54"/>
  <c r="O35" i="54" s="1"/>
  <c r="Q172" i="39"/>
  <c r="R172" i="39" s="1"/>
  <c r="N181" i="39"/>
  <c r="O181" i="39" s="1"/>
  <c r="Q180" i="39"/>
  <c r="R180" i="39" s="1"/>
  <c r="N184" i="39"/>
  <c r="O184" i="39" s="1"/>
  <c r="Q168" i="39"/>
  <c r="R168" i="39" s="1"/>
  <c r="N165" i="39"/>
  <c r="O165" i="39" s="1"/>
  <c r="Q170" i="39"/>
  <c r="R170" i="39" s="1"/>
  <c r="Q166" i="39"/>
  <c r="R166" i="39" s="1"/>
  <c r="Q176" i="39"/>
  <c r="R176" i="39" s="1"/>
  <c r="Q174" i="39"/>
  <c r="R174" i="39" s="1"/>
  <c r="Q182" i="39"/>
  <c r="R182" i="39" s="1"/>
  <c r="N175" i="39"/>
  <c r="O175" i="39" s="1"/>
  <c r="N166" i="39"/>
  <c r="O166" i="39" s="1"/>
  <c r="N178" i="39"/>
  <c r="O178" i="39" s="1"/>
  <c r="M58" i="54"/>
  <c r="H237" i="39"/>
  <c r="M35" i="54"/>
  <c r="N32" i="54"/>
  <c r="O32" i="54" s="1"/>
  <c r="N167" i="39"/>
  <c r="O167" i="39" s="1"/>
  <c r="N179" i="39"/>
  <c r="O179" i="39" s="1"/>
  <c r="N169" i="39"/>
  <c r="O169" i="39" s="1"/>
  <c r="L237" i="39"/>
  <c r="N171" i="39"/>
  <c r="O171" i="39" s="1"/>
  <c r="N172" i="39"/>
  <c r="O172" i="39" s="1"/>
  <c r="N255" i="39"/>
  <c r="O255" i="39" s="1"/>
  <c r="R41" i="54"/>
  <c r="R37" i="54"/>
  <c r="N170" i="39"/>
  <c r="O170" i="39" s="1"/>
  <c r="N176" i="39"/>
  <c r="O176" i="39" s="1"/>
  <c r="R39" i="54"/>
  <c r="N35" i="35"/>
  <c r="O35" i="35" s="1"/>
  <c r="O22" i="35"/>
  <c r="H183" i="39"/>
  <c r="O26" i="35"/>
  <c r="N40" i="35"/>
  <c r="O40" i="35" s="1"/>
  <c r="O43" i="35"/>
  <c r="O31" i="35"/>
  <c r="H191" i="39"/>
  <c r="O42" i="35"/>
  <c r="N34" i="35"/>
  <c r="O34" i="35" s="1"/>
  <c r="N61" i="35"/>
  <c r="O38" i="35"/>
  <c r="R39" i="35"/>
  <c r="R43" i="35"/>
  <c r="N201" i="39"/>
  <c r="O201" i="39" s="1"/>
  <c r="O23" i="35"/>
  <c r="L202" i="39"/>
  <c r="M202" i="39" s="1"/>
  <c r="Q297" i="39"/>
  <c r="N58" i="35"/>
  <c r="N299" i="39" s="1"/>
  <c r="O299" i="39" s="1"/>
  <c r="O32" i="35"/>
  <c r="O29" i="35"/>
  <c r="N56" i="35"/>
  <c r="O56" i="35" s="1"/>
  <c r="Q300" i="39"/>
  <c r="H202" i="39"/>
  <c r="O11" i="35"/>
  <c r="N183" i="39"/>
  <c r="O183" i="39" s="1"/>
  <c r="L297" i="39"/>
  <c r="M297" i="39" s="1"/>
  <c r="O24" i="35"/>
  <c r="O28" i="35"/>
  <c r="N59" i="35"/>
  <c r="N300" i="39" s="1"/>
  <c r="O300" i="39" s="1"/>
  <c r="L192" i="39"/>
  <c r="M192" i="39" s="1"/>
  <c r="N301" i="39"/>
  <c r="O301" i="39" s="1"/>
  <c r="L163" i="39"/>
  <c r="M163" i="39" s="1"/>
  <c r="O30" i="35"/>
  <c r="N57" i="35"/>
  <c r="R60" i="35"/>
  <c r="L99" i="39"/>
  <c r="H70" i="39"/>
  <c r="N34" i="39"/>
  <c r="H72" i="39"/>
  <c r="N86" i="39"/>
  <c r="L146" i="39"/>
  <c r="N115" i="39"/>
  <c r="N141" i="39"/>
  <c r="N13" i="39"/>
  <c r="L108" i="39"/>
  <c r="L135" i="39"/>
  <c r="L111" i="39"/>
  <c r="N58" i="39"/>
  <c r="H30" i="39"/>
  <c r="N50" i="39"/>
  <c r="N72" i="39"/>
  <c r="N101" i="39"/>
  <c r="H119" i="39"/>
  <c r="H28" i="39"/>
  <c r="H58" i="39"/>
  <c r="N28" i="39"/>
  <c r="H41" i="39"/>
  <c r="H45" i="39"/>
  <c r="N49" i="39"/>
  <c r="N51" i="39"/>
  <c r="N53" i="39"/>
  <c r="H61" i="39"/>
  <c r="N62" i="39"/>
  <c r="N92" i="39"/>
  <c r="N98" i="39"/>
  <c r="N105" i="39"/>
  <c r="N121" i="39"/>
  <c r="N127" i="39"/>
  <c r="N135" i="39"/>
  <c r="L140" i="39"/>
  <c r="N145" i="39"/>
  <c r="L151" i="39"/>
  <c r="H47" i="39"/>
  <c r="H50" i="39"/>
  <c r="N47" i="39"/>
  <c r="N100" i="39"/>
  <c r="N106" i="39"/>
  <c r="N118" i="39"/>
  <c r="N128" i="39"/>
  <c r="L141" i="39"/>
  <c r="N147" i="39"/>
  <c r="H15" i="39"/>
  <c r="H49" i="39"/>
  <c r="H51" i="39"/>
  <c r="H53" i="39"/>
  <c r="H54" i="39"/>
  <c r="H75" i="39"/>
  <c r="H304" i="39"/>
  <c r="H39" i="39"/>
  <c r="I30" i="39"/>
  <c r="H37" i="39"/>
  <c r="N41" i="39"/>
  <c r="N45" i="39"/>
  <c r="H59" i="39"/>
  <c r="N61" i="39"/>
  <c r="N76" i="39"/>
  <c r="L88" i="39"/>
  <c r="L93" i="39"/>
  <c r="L95" i="39"/>
  <c r="H106" i="39"/>
  <c r="L109" i="39"/>
  <c r="N113" i="39"/>
  <c r="N122" i="39"/>
  <c r="L129" i="39"/>
  <c r="N137" i="39"/>
  <c r="N186" i="39"/>
  <c r="H71" i="39"/>
  <c r="H95" i="39"/>
  <c r="H18" i="39"/>
  <c r="H20" i="39"/>
  <c r="N54" i="39"/>
  <c r="N66" i="39"/>
  <c r="N88" i="39"/>
  <c r="N124" i="39"/>
  <c r="L142" i="39"/>
  <c r="H31" i="39"/>
  <c r="H67" i="39"/>
  <c r="N30" i="39"/>
  <c r="N35" i="39"/>
  <c r="N40" i="39"/>
  <c r="N84" i="39"/>
  <c r="L90" i="39"/>
  <c r="N96" i="39"/>
  <c r="N102" i="39"/>
  <c r="N116" i="39"/>
  <c r="L132" i="39"/>
  <c r="I200" i="39"/>
  <c r="N93" i="39"/>
  <c r="H22" i="39"/>
  <c r="H62" i="39"/>
  <c r="N130" i="39"/>
  <c r="N18" i="39"/>
  <c r="L97" i="39"/>
  <c r="N110" i="39"/>
  <c r="L200" i="39"/>
  <c r="H151" i="39"/>
  <c r="H35" i="39"/>
  <c r="H76" i="39"/>
  <c r="H111" i="39"/>
  <c r="N70" i="39"/>
  <c r="N138" i="39"/>
  <c r="H23" i="39"/>
  <c r="H66" i="39"/>
  <c r="H229" i="39"/>
  <c r="N15" i="39"/>
  <c r="N37" i="39"/>
  <c r="N59" i="39"/>
  <c r="N67" i="39"/>
  <c r="H90" i="39"/>
  <c r="L104" i="39"/>
  <c r="L107" i="39"/>
  <c r="N119" i="39"/>
  <c r="L133" i="39"/>
  <c r="N206" i="39"/>
  <c r="O206" i="39" s="1"/>
  <c r="I28" i="39"/>
  <c r="H34" i="39"/>
  <c r="N71" i="39"/>
  <c r="N75" i="39"/>
  <c r="H85" i="39"/>
  <c r="N90" i="39"/>
  <c r="L94" i="39"/>
  <c r="N97" i="39"/>
  <c r="N104" i="39"/>
  <c r="N108" i="39"/>
  <c r="L145" i="39"/>
  <c r="N200" i="39"/>
  <c r="H21" i="39"/>
  <c r="H46" i="39"/>
  <c r="H14" i="39"/>
  <c r="H19" i="39"/>
  <c r="H27" i="39"/>
  <c r="N27" i="39"/>
  <c r="H36" i="39"/>
  <c r="H40" i="39"/>
  <c r="H48" i="39"/>
  <c r="H52" i="39"/>
  <c r="H65" i="39"/>
  <c r="H115" i="39"/>
  <c r="N198" i="39"/>
  <c r="L85" i="39"/>
  <c r="H107" i="39"/>
  <c r="N109" i="39"/>
  <c r="N133" i="39"/>
  <c r="H135" i="39"/>
  <c r="H96" i="39"/>
  <c r="H117" i="39"/>
  <c r="L138" i="39"/>
  <c r="N143" i="39"/>
  <c r="H97" i="39"/>
  <c r="H84" i="39"/>
  <c r="H88" i="39"/>
  <c r="H116" i="39"/>
  <c r="N117" i="39"/>
  <c r="L92" i="39"/>
  <c r="L96" i="39"/>
  <c r="H105" i="39"/>
  <c r="H110" i="39"/>
  <c r="L125" i="39"/>
  <c r="L128" i="39"/>
  <c r="H134" i="39"/>
  <c r="N140" i="39"/>
  <c r="N142" i="39"/>
  <c r="H121" i="39"/>
  <c r="H141" i="39"/>
  <c r="H98" i="39"/>
  <c r="H100" i="39"/>
  <c r="H102" i="39"/>
  <c r="L84" i="39"/>
  <c r="H86" i="39"/>
  <c r="L98" i="39"/>
  <c r="L100" i="39"/>
  <c r="L102" i="39"/>
  <c r="L105" i="39"/>
  <c r="H118" i="39"/>
  <c r="L122" i="39"/>
  <c r="N125" i="39"/>
  <c r="H114" i="39"/>
  <c r="H132" i="39"/>
  <c r="H125" i="39"/>
  <c r="L86" i="39"/>
  <c r="L110" i="39"/>
  <c r="H101" i="39"/>
  <c r="H109" i="39"/>
  <c r="H113" i="39"/>
  <c r="H130" i="39"/>
  <c r="H129" i="39"/>
  <c r="H137" i="39"/>
  <c r="H136" i="39" s="1"/>
  <c r="L121" i="39"/>
  <c r="L127" i="39"/>
  <c r="L147" i="39"/>
  <c r="H140" i="39"/>
  <c r="H99" i="39"/>
  <c r="N95" i="39"/>
  <c r="H104" i="39"/>
  <c r="N99" i="39"/>
  <c r="H108" i="39"/>
  <c r="N107" i="39"/>
  <c r="H124" i="39"/>
  <c r="H133" i="39"/>
  <c r="L130" i="39"/>
  <c r="H143" i="39"/>
  <c r="L124" i="39"/>
  <c r="H122" i="39"/>
  <c r="H128" i="39"/>
  <c r="H145" i="39"/>
  <c r="H146" i="39"/>
  <c r="H147" i="39"/>
  <c r="N305" i="39"/>
  <c r="O305" i="39" s="1"/>
  <c r="Q239" i="39"/>
  <c r="R239" i="39" s="1"/>
  <c r="Q241" i="39"/>
  <c r="R241" i="39" s="1"/>
  <c r="Q243" i="39"/>
  <c r="R243" i="39" s="1"/>
  <c r="H302" i="39"/>
  <c r="N303" i="39"/>
  <c r="O303" i="39" s="1"/>
  <c r="N146" i="39"/>
  <c r="N151" i="39"/>
  <c r="N39" i="39"/>
  <c r="N36" i="39"/>
  <c r="H142" i="39"/>
  <c r="N31" i="39"/>
  <c r="L106" i="39"/>
  <c r="N134" i="39"/>
  <c r="N48" i="39"/>
  <c r="N94" i="39"/>
  <c r="N44" i="39"/>
  <c r="N56" i="39"/>
  <c r="N65" i="39"/>
  <c r="L101" i="39"/>
  <c r="N111" i="39"/>
  <c r="N129" i="39"/>
  <c r="L134" i="39"/>
  <c r="H186" i="39"/>
  <c r="H303" i="39"/>
  <c r="N14" i="39"/>
  <c r="N46" i="39"/>
  <c r="N85" i="39"/>
  <c r="L143" i="39"/>
  <c r="N55" i="39"/>
  <c r="N155" i="39"/>
  <c r="N154" i="39" s="1"/>
  <c r="N114" i="39"/>
  <c r="N132" i="39"/>
  <c r="I27" i="39"/>
  <c r="N52" i="39"/>
  <c r="Q25" i="39"/>
  <c r="H68" i="39"/>
  <c r="L137" i="39"/>
  <c r="Q242" i="39"/>
  <c r="R242" i="39" s="1"/>
  <c r="Q240" i="39"/>
  <c r="R240" i="39" s="1"/>
  <c r="K16" i="39" l="1"/>
  <c r="O40" i="39"/>
  <c r="M40" i="39"/>
  <c r="M78" i="39"/>
  <c r="O78" i="39"/>
  <c r="M27" i="39"/>
  <c r="O27" i="39"/>
  <c r="K17" i="39"/>
  <c r="O71" i="39"/>
  <c r="M71" i="39"/>
  <c r="M59" i="39"/>
  <c r="O59" i="39"/>
  <c r="M44" i="39"/>
  <c r="O44" i="39"/>
  <c r="O55" i="39"/>
  <c r="M55" i="39"/>
  <c r="M24" i="39"/>
  <c r="M15" i="39"/>
  <c r="O15" i="39"/>
  <c r="M14" i="39"/>
  <c r="O14" i="39"/>
  <c r="M34" i="39"/>
  <c r="O34" i="39"/>
  <c r="M28" i="39"/>
  <c r="O28" i="39"/>
  <c r="O39" i="39"/>
  <c r="M39" i="39"/>
  <c r="M17" i="39"/>
  <c r="O17" i="39"/>
  <c r="M30" i="39"/>
  <c r="O30" i="39"/>
  <c r="M70" i="39"/>
  <c r="O70" i="39"/>
  <c r="M35" i="39"/>
  <c r="O35" i="39"/>
  <c r="O56" i="39"/>
  <c r="M56" i="39"/>
  <c r="K68" i="39"/>
  <c r="M68" i="39"/>
  <c r="M50" i="39"/>
  <c r="O50" i="39"/>
  <c r="M67" i="39"/>
  <c r="O67" i="39"/>
  <c r="M53" i="39"/>
  <c r="O53" i="39"/>
  <c r="M18" i="39"/>
  <c r="O18" i="39"/>
  <c r="M22" i="39"/>
  <c r="M62" i="39"/>
  <c r="O62" i="39"/>
  <c r="O63" i="39"/>
  <c r="M63" i="39"/>
  <c r="M76" i="39"/>
  <c r="O76" i="39"/>
  <c r="M46" i="39"/>
  <c r="O46" i="39"/>
  <c r="M19" i="39"/>
  <c r="M45" i="39"/>
  <c r="O45" i="39"/>
  <c r="O32" i="39"/>
  <c r="M32" i="39"/>
  <c r="M65" i="39"/>
  <c r="O65" i="39"/>
  <c r="M13" i="39"/>
  <c r="O13" i="39"/>
  <c r="M52" i="39"/>
  <c r="O52" i="39"/>
  <c r="K13" i="39"/>
  <c r="M21" i="39"/>
  <c r="O72" i="39"/>
  <c r="M72" i="39"/>
  <c r="M41" i="39"/>
  <c r="O41" i="39"/>
  <c r="M58" i="39"/>
  <c r="O58" i="39"/>
  <c r="M54" i="39"/>
  <c r="O54" i="39"/>
  <c r="M49" i="39"/>
  <c r="O49" i="39"/>
  <c r="M77" i="39"/>
  <c r="O77" i="39"/>
  <c r="M23" i="39"/>
  <c r="M20" i="39"/>
  <c r="O16" i="39"/>
  <c r="M16" i="39"/>
  <c r="M75" i="39"/>
  <c r="O75" i="39"/>
  <c r="M61" i="39"/>
  <c r="O61" i="39"/>
  <c r="O31" i="39"/>
  <c r="M31" i="39"/>
  <c r="O48" i="39"/>
  <c r="M48" i="39"/>
  <c r="M36" i="39"/>
  <c r="O36" i="39"/>
  <c r="M37" i="39"/>
  <c r="O37" i="39"/>
  <c r="M66" i="39"/>
  <c r="O66" i="39"/>
  <c r="M51" i="39"/>
  <c r="O51" i="39"/>
  <c r="O47" i="39"/>
  <c r="M47" i="39"/>
  <c r="M25" i="39"/>
  <c r="P34" i="54"/>
  <c r="P9" i="54" s="1"/>
  <c r="P317" i="39" s="1"/>
  <c r="R281" i="39"/>
  <c r="R275" i="39"/>
  <c r="K11" i="35"/>
  <c r="J10" i="35"/>
  <c r="K10" i="35" s="1"/>
  <c r="O114" i="39"/>
  <c r="O110" i="39"/>
  <c r="O113" i="39"/>
  <c r="O92" i="39"/>
  <c r="M92" i="39"/>
  <c r="O127" i="39"/>
  <c r="M216" i="39"/>
  <c r="R297" i="39"/>
  <c r="M101" i="39"/>
  <c r="O132" i="39"/>
  <c r="M137" i="39"/>
  <c r="M132" i="39"/>
  <c r="O111" i="39"/>
  <c r="M109" i="39"/>
  <c r="O109" i="39"/>
  <c r="O101" i="39"/>
  <c r="M130" i="39"/>
  <c r="O130" i="39"/>
  <c r="M134" i="39"/>
  <c r="O95" i="39"/>
  <c r="O117" i="39"/>
  <c r="R59" i="54"/>
  <c r="R263" i="39"/>
  <c r="M133" i="39"/>
  <c r="O100" i="39"/>
  <c r="M100" i="39"/>
  <c r="M127" i="39"/>
  <c r="M98" i="39"/>
  <c r="M84" i="39"/>
  <c r="O135" i="39"/>
  <c r="M135" i="39"/>
  <c r="O98" i="39"/>
  <c r="R265" i="39"/>
  <c r="O134" i="39"/>
  <c r="O84" i="39"/>
  <c r="O122" i="39"/>
  <c r="K265" i="39"/>
  <c r="R25" i="39"/>
  <c r="O85" i="39"/>
  <c r="R300" i="39"/>
  <c r="O129" i="39"/>
  <c r="O143" i="39"/>
  <c r="M85" i="39"/>
  <c r="M143" i="39"/>
  <c r="M125" i="39"/>
  <c r="M141" i="39"/>
  <c r="M105" i="39"/>
  <c r="O93" i="39"/>
  <c r="O133" i="39"/>
  <c r="M128" i="39"/>
  <c r="O186" i="39"/>
  <c r="M110" i="39"/>
  <c r="O115" i="39"/>
  <c r="M95" i="39"/>
  <c r="M93" i="39"/>
  <c r="M102" i="39"/>
  <c r="M107" i="39"/>
  <c r="O102" i="39"/>
  <c r="M129" i="39"/>
  <c r="O107" i="39"/>
  <c r="O124" i="39"/>
  <c r="M124" i="39"/>
  <c r="O105" i="39"/>
  <c r="R272" i="39"/>
  <c r="O274" i="39"/>
  <c r="M266" i="39"/>
  <c r="M111" i="39"/>
  <c r="M147" i="39"/>
  <c r="M122" i="39"/>
  <c r="O90" i="39"/>
  <c r="M96" i="39"/>
  <c r="M97" i="39"/>
  <c r="O118" i="39"/>
  <c r="O97" i="39"/>
  <c r="M90" i="39"/>
  <c r="O154" i="39"/>
  <c r="O155" i="39"/>
  <c r="O119" i="39"/>
  <c r="M99" i="39"/>
  <c r="O200" i="39"/>
  <c r="M200" i="39"/>
  <c r="M146" i="39"/>
  <c r="O198" i="39"/>
  <c r="O96" i="39"/>
  <c r="M86" i="39"/>
  <c r="M121" i="39"/>
  <c r="O146" i="39"/>
  <c r="O125" i="39"/>
  <c r="O121" i="39"/>
  <c r="M104" i="39"/>
  <c r="O86" i="39"/>
  <c r="M186" i="39"/>
  <c r="N136" i="39"/>
  <c r="O137" i="39"/>
  <c r="M106" i="39"/>
  <c r="O147" i="39"/>
  <c r="M151" i="39"/>
  <c r="O99" i="39"/>
  <c r="M145" i="39"/>
  <c r="O138" i="39"/>
  <c r="O128" i="39"/>
  <c r="O145" i="39"/>
  <c r="M237" i="39"/>
  <c r="L87" i="39"/>
  <c r="M87" i="39" s="1"/>
  <c r="M88" i="39"/>
  <c r="O94" i="39"/>
  <c r="M138" i="39"/>
  <c r="O108" i="39"/>
  <c r="O116" i="39"/>
  <c r="M140" i="39"/>
  <c r="O142" i="39"/>
  <c r="O104" i="39"/>
  <c r="O106" i="39"/>
  <c r="M108" i="39"/>
  <c r="L148" i="39"/>
  <c r="M148" i="39" s="1"/>
  <c r="M149" i="39"/>
  <c r="N87" i="39"/>
  <c r="O87" i="39" s="1"/>
  <c r="O88" i="39"/>
  <c r="O151" i="39"/>
  <c r="O140" i="39"/>
  <c r="M142" i="39"/>
  <c r="M94" i="39"/>
  <c r="O141" i="39"/>
  <c r="I89" i="39"/>
  <c r="R50" i="37"/>
  <c r="R52" i="37"/>
  <c r="L26" i="39"/>
  <c r="L74" i="39"/>
  <c r="I120" i="39"/>
  <c r="P16" i="37"/>
  <c r="P14" i="37" s="1"/>
  <c r="R36" i="37"/>
  <c r="K33" i="54"/>
  <c r="N68" i="39"/>
  <c r="O68" i="39" s="1"/>
  <c r="I131" i="39"/>
  <c r="I112" i="39"/>
  <c r="L64" i="39"/>
  <c r="L38" i="39"/>
  <c r="I136" i="39"/>
  <c r="L57" i="39"/>
  <c r="L29" i="39"/>
  <c r="L33" i="39"/>
  <c r="L69" i="39"/>
  <c r="L43" i="39"/>
  <c r="L12" i="39"/>
  <c r="L60" i="39"/>
  <c r="I12" i="39"/>
  <c r="L224" i="39"/>
  <c r="M224" i="39" s="1"/>
  <c r="L185" i="39"/>
  <c r="L153" i="39" s="1"/>
  <c r="I185" i="39"/>
  <c r="I153" i="39" s="1"/>
  <c r="I83" i="39"/>
  <c r="I74" i="39"/>
  <c r="I144" i="39"/>
  <c r="I103" i="39"/>
  <c r="I64" i="39"/>
  <c r="I57" i="39"/>
  <c r="H12" i="39"/>
  <c r="I38" i="39"/>
  <c r="I33" i="39"/>
  <c r="I69" i="39"/>
  <c r="I60" i="39"/>
  <c r="I123" i="39"/>
  <c r="I43" i="39"/>
  <c r="I29" i="39"/>
  <c r="I139" i="39"/>
  <c r="R53" i="54"/>
  <c r="N34" i="54"/>
  <c r="O34" i="54" s="1"/>
  <c r="I9" i="54"/>
  <c r="M9" i="54" s="1"/>
  <c r="N203" i="39"/>
  <c r="O203" i="39" s="1"/>
  <c r="R26" i="35"/>
  <c r="R42" i="35"/>
  <c r="R23" i="35"/>
  <c r="N263" i="39"/>
  <c r="O263" i="39" s="1"/>
  <c r="O59" i="54"/>
  <c r="R40" i="35"/>
  <c r="R30" i="35"/>
  <c r="R38" i="35"/>
  <c r="R22" i="35"/>
  <c r="P183" i="39"/>
  <c r="R183" i="39" s="1"/>
  <c r="R24" i="35"/>
  <c r="R11" i="35"/>
  <c r="P202" i="39"/>
  <c r="P191" i="39"/>
  <c r="R31" i="35"/>
  <c r="R41" i="35"/>
  <c r="R32" i="35"/>
  <c r="P205" i="39"/>
  <c r="P203" i="39" s="1"/>
  <c r="P47" i="39"/>
  <c r="P21" i="39"/>
  <c r="P62" i="39"/>
  <c r="P66" i="39"/>
  <c r="P65" i="39"/>
  <c r="P110" i="39"/>
  <c r="P72" i="39"/>
  <c r="P56" i="39"/>
  <c r="P24" i="39"/>
  <c r="P67" i="39"/>
  <c r="P39" i="39"/>
  <c r="P54" i="39"/>
  <c r="P40" i="39"/>
  <c r="P71" i="39"/>
  <c r="P49" i="39"/>
  <c r="P30" i="39"/>
  <c r="P29" i="39" s="1"/>
  <c r="P100" i="39"/>
  <c r="P50" i="39"/>
  <c r="P94" i="39"/>
  <c r="P85" i="39"/>
  <c r="P68" i="39"/>
  <c r="R68" i="39" s="1"/>
  <c r="P52" i="39"/>
  <c r="P34" i="39"/>
  <c r="P96" i="39"/>
  <c r="P111" i="39"/>
  <c r="P113" i="39"/>
  <c r="P88" i="39"/>
  <c r="P87" i="39" s="1"/>
  <c r="P75" i="39"/>
  <c r="P74" i="39" s="1"/>
  <c r="P73" i="39" s="1"/>
  <c r="P109" i="39"/>
  <c r="P15" i="39"/>
  <c r="P107" i="39"/>
  <c r="P86" i="39"/>
  <c r="P105" i="39"/>
  <c r="P97" i="39"/>
  <c r="P115" i="39"/>
  <c r="P53" i="39"/>
  <c r="P59" i="39"/>
  <c r="P57" i="39" s="1"/>
  <c r="P27" i="39"/>
  <c r="P114" i="39"/>
  <c r="P124" i="39"/>
  <c r="P122" i="39"/>
  <c r="P23" i="39"/>
  <c r="P98" i="39"/>
  <c r="P95" i="39"/>
  <c r="P116" i="39"/>
  <c r="P93" i="39"/>
  <c r="P106" i="39"/>
  <c r="P61" i="39"/>
  <c r="P28" i="39"/>
  <c r="P20" i="39"/>
  <c r="P35" i="39"/>
  <c r="P19" i="39"/>
  <c r="P104" i="39"/>
  <c r="P121" i="39"/>
  <c r="P102" i="39"/>
  <c r="P45" i="39"/>
  <c r="P306" i="39"/>
  <c r="P302" i="39" s="1"/>
  <c r="P215" i="39"/>
  <c r="P90" i="39"/>
  <c r="P101" i="39"/>
  <c r="P229" i="39"/>
  <c r="P224" i="39" s="1"/>
  <c r="R18" i="37"/>
  <c r="P43" i="37"/>
  <c r="P268" i="39"/>
  <c r="P264" i="39" s="1"/>
  <c r="P216" i="39"/>
  <c r="R29" i="37"/>
  <c r="R47" i="37"/>
  <c r="R15" i="37"/>
  <c r="P284" i="39"/>
  <c r="R284" i="39" s="1"/>
  <c r="R58" i="37"/>
  <c r="P59" i="37"/>
  <c r="P146" i="39"/>
  <c r="P144" i="39" s="1"/>
  <c r="P125" i="39"/>
  <c r="P155" i="39"/>
  <c r="P154" i="39" s="1"/>
  <c r="Q35" i="37"/>
  <c r="P269" i="39"/>
  <c r="P296" i="39"/>
  <c r="Q233" i="39"/>
  <c r="R233" i="39" s="1"/>
  <c r="Q24" i="39"/>
  <c r="S22" i="4"/>
  <c r="S15" i="4"/>
  <c r="H269" i="39"/>
  <c r="Q39" i="37"/>
  <c r="R39" i="37" s="1"/>
  <c r="S21" i="4"/>
  <c r="S18" i="4"/>
  <c r="P131" i="39"/>
  <c r="S25" i="4"/>
  <c r="S20" i="4"/>
  <c r="S17" i="4"/>
  <c r="S23" i="4"/>
  <c r="S27" i="4"/>
  <c r="S19" i="4"/>
  <c r="S31" i="4"/>
  <c r="S14" i="4"/>
  <c r="S30" i="4"/>
  <c r="S24" i="4"/>
  <c r="S13" i="4"/>
  <c r="S28" i="4"/>
  <c r="R56" i="37"/>
  <c r="R53" i="37"/>
  <c r="P48" i="37"/>
  <c r="J68" i="54"/>
  <c r="J60" i="54"/>
  <c r="J52" i="54"/>
  <c r="J44" i="54"/>
  <c r="J36" i="54"/>
  <c r="J69" i="54"/>
  <c r="K69" i="54" s="1"/>
  <c r="J67" i="54"/>
  <c r="J59" i="54"/>
  <c r="J51" i="54"/>
  <c r="J43" i="54"/>
  <c r="J38" i="54"/>
  <c r="J66" i="54"/>
  <c r="J58" i="54"/>
  <c r="J50" i="54"/>
  <c r="J42" i="54"/>
  <c r="J70" i="54"/>
  <c r="K70" i="54" s="1"/>
  <c r="J53" i="54"/>
  <c r="K53" i="54" s="1"/>
  <c r="J65" i="54"/>
  <c r="J57" i="54"/>
  <c r="J49" i="54"/>
  <c r="J41" i="54"/>
  <c r="J62" i="54"/>
  <c r="J61" i="54"/>
  <c r="J72" i="54"/>
  <c r="K72" i="54" s="1"/>
  <c r="J64" i="54"/>
  <c r="J56" i="54"/>
  <c r="J48" i="54"/>
  <c r="J40" i="54"/>
  <c r="J54" i="54"/>
  <c r="J45" i="54"/>
  <c r="J63" i="54"/>
  <c r="J55" i="54"/>
  <c r="J47" i="54"/>
  <c r="J39" i="54"/>
  <c r="J46" i="54"/>
  <c r="J37" i="54"/>
  <c r="N237" i="39"/>
  <c r="O237" i="39" s="1"/>
  <c r="H224" i="39"/>
  <c r="H317" i="39"/>
  <c r="R28" i="35"/>
  <c r="H163" i="39"/>
  <c r="H264" i="39"/>
  <c r="H87" i="39"/>
  <c r="J183" i="39"/>
  <c r="Q28" i="37"/>
  <c r="R28" i="37" s="1"/>
  <c r="Q35" i="35"/>
  <c r="R35" i="35" s="1"/>
  <c r="R36" i="35"/>
  <c r="Q33" i="35"/>
  <c r="R33" i="35" s="1"/>
  <c r="R34" i="35"/>
  <c r="K43" i="37"/>
  <c r="R19" i="37"/>
  <c r="N33" i="35"/>
  <c r="O33" i="35" s="1"/>
  <c r="Q256" i="39"/>
  <c r="R256" i="39" s="1"/>
  <c r="Q268" i="39"/>
  <c r="M34" i="54"/>
  <c r="P12" i="4"/>
  <c r="N229" i="39"/>
  <c r="Q13" i="39"/>
  <c r="R13" i="39" s="1"/>
  <c r="Q14" i="39"/>
  <c r="R14" i="39" s="1"/>
  <c r="Q18" i="39"/>
  <c r="R18" i="39" s="1"/>
  <c r="N304" i="39"/>
  <c r="O304" i="39" s="1"/>
  <c r="N149" i="39"/>
  <c r="O149" i="39" s="1"/>
  <c r="N46" i="35"/>
  <c r="O46" i="35" s="1"/>
  <c r="Q201" i="39"/>
  <c r="R201" i="39" s="1"/>
  <c r="R57" i="35"/>
  <c r="Q55" i="35"/>
  <c r="Q54" i="35" s="1"/>
  <c r="R56" i="35"/>
  <c r="H88" i="37"/>
  <c r="N35" i="37"/>
  <c r="O35" i="37" s="1"/>
  <c r="O53" i="37"/>
  <c r="K47" i="37"/>
  <c r="J268" i="39"/>
  <c r="K268" i="39" s="1"/>
  <c r="Q282" i="39"/>
  <c r="R282" i="39" s="1"/>
  <c r="I269" i="39"/>
  <c r="I264" i="39"/>
  <c r="L269" i="39"/>
  <c r="R55" i="37"/>
  <c r="R44" i="37"/>
  <c r="Q271" i="39"/>
  <c r="R271" i="39" s="1"/>
  <c r="M43" i="37"/>
  <c r="L264" i="39"/>
  <c r="O15" i="37"/>
  <c r="N195" i="39"/>
  <c r="O195" i="39" s="1"/>
  <c r="Q274" i="39"/>
  <c r="R274" i="39" s="1"/>
  <c r="O56" i="37"/>
  <c r="N282" i="39"/>
  <c r="O282" i="39" s="1"/>
  <c r="N273" i="39"/>
  <c r="O273" i="39" s="1"/>
  <c r="O52" i="37"/>
  <c r="J273" i="39"/>
  <c r="K273" i="39" s="1"/>
  <c r="K53" i="37"/>
  <c r="Q283" i="39"/>
  <c r="R283" i="39" s="1"/>
  <c r="K44" i="37"/>
  <c r="J270" i="39"/>
  <c r="K270" i="39" s="1"/>
  <c r="K49" i="37"/>
  <c r="I88" i="37"/>
  <c r="H96" i="37"/>
  <c r="N271" i="39"/>
  <c r="O271" i="39" s="1"/>
  <c r="K48" i="37"/>
  <c r="K45" i="37"/>
  <c r="J274" i="39"/>
  <c r="K274" i="39" s="1"/>
  <c r="R54" i="37"/>
  <c r="J267" i="39"/>
  <c r="K267" i="39" s="1"/>
  <c r="J195" i="39"/>
  <c r="K195" i="39" s="1"/>
  <c r="K52" i="37"/>
  <c r="K46" i="37"/>
  <c r="J281" i="39"/>
  <c r="K281" i="39" s="1"/>
  <c r="H196" i="39"/>
  <c r="O30" i="37"/>
  <c r="O29" i="37"/>
  <c r="O54" i="37"/>
  <c r="N275" i="39"/>
  <c r="O275" i="39" s="1"/>
  <c r="R45" i="37"/>
  <c r="Q266" i="39"/>
  <c r="R266" i="39" s="1"/>
  <c r="N232" i="39"/>
  <c r="O232" i="39" s="1"/>
  <c r="O36" i="37"/>
  <c r="N233" i="39"/>
  <c r="O233" i="39" s="1"/>
  <c r="O57" i="37"/>
  <c r="N283" i="39"/>
  <c r="O283" i="39" s="1"/>
  <c r="J275" i="39"/>
  <c r="K275" i="39" s="1"/>
  <c r="O55" i="37"/>
  <c r="N281" i="39"/>
  <c r="O281" i="39" s="1"/>
  <c r="I98" i="37"/>
  <c r="I99" i="37" s="1"/>
  <c r="I95" i="37"/>
  <c r="Q273" i="39"/>
  <c r="R273" i="39" s="1"/>
  <c r="O47" i="37"/>
  <c r="N268" i="39"/>
  <c r="O268" i="39" s="1"/>
  <c r="J266" i="39"/>
  <c r="K266" i="39" s="1"/>
  <c r="I92" i="37"/>
  <c r="K50" i="37"/>
  <c r="J271" i="39"/>
  <c r="K271" i="39" s="1"/>
  <c r="J272" i="39"/>
  <c r="K272" i="39" s="1"/>
  <c r="R51" i="37"/>
  <c r="O48" i="37"/>
  <c r="N59" i="37"/>
  <c r="N302" i="39" s="1"/>
  <c r="Q59" i="37"/>
  <c r="O46" i="37"/>
  <c r="N267" i="39"/>
  <c r="O267" i="39" s="1"/>
  <c r="M35" i="37"/>
  <c r="O45" i="37"/>
  <c r="N266" i="39"/>
  <c r="O266" i="39" s="1"/>
  <c r="R46" i="37"/>
  <c r="Q267" i="39"/>
  <c r="R267" i="39" s="1"/>
  <c r="M48" i="37"/>
  <c r="O51" i="37"/>
  <c r="N272" i="39"/>
  <c r="O272" i="39" s="1"/>
  <c r="O44" i="37"/>
  <c r="N265" i="39"/>
  <c r="O265" i="39" s="1"/>
  <c r="R49" i="37"/>
  <c r="Q270" i="39"/>
  <c r="R270" i="39" s="1"/>
  <c r="O33" i="37"/>
  <c r="N230" i="39"/>
  <c r="O230" i="39" s="1"/>
  <c r="R64" i="54"/>
  <c r="R62" i="54"/>
  <c r="L317" i="39"/>
  <c r="Q280" i="39"/>
  <c r="R280" i="39" s="1"/>
  <c r="Q163" i="39"/>
  <c r="N188" i="39"/>
  <c r="O188" i="39" s="1"/>
  <c r="N37" i="35"/>
  <c r="O37" i="35" s="1"/>
  <c r="N163" i="39"/>
  <c r="O163" i="39" s="1"/>
  <c r="M21" i="35"/>
  <c r="Q61" i="35"/>
  <c r="H188" i="39"/>
  <c r="O58" i="35"/>
  <c r="N192" i="39"/>
  <c r="O192" i="39" s="1"/>
  <c r="L296" i="39"/>
  <c r="M296" i="39" s="1"/>
  <c r="N297" i="39"/>
  <c r="O297" i="39" s="1"/>
  <c r="Q298" i="39"/>
  <c r="R298" i="39" s="1"/>
  <c r="R59" i="35"/>
  <c r="O59" i="35"/>
  <c r="O12" i="35"/>
  <c r="R58" i="35"/>
  <c r="Q299" i="39"/>
  <c r="R299" i="39" s="1"/>
  <c r="O57" i="35"/>
  <c r="N298" i="39"/>
  <c r="O298" i="39" s="1"/>
  <c r="M55" i="35"/>
  <c r="N54" i="35"/>
  <c r="O54" i="35" s="1"/>
  <c r="N55" i="35"/>
  <c r="O55" i="35" s="1"/>
  <c r="H60" i="39"/>
  <c r="H29" i="39"/>
  <c r="N120" i="39"/>
  <c r="Q19" i="39"/>
  <c r="Q22" i="39"/>
  <c r="R22" i="39" s="1"/>
  <c r="Q17" i="39"/>
  <c r="R17" i="39" s="1"/>
  <c r="N144" i="39"/>
  <c r="N60" i="39"/>
  <c r="H38" i="39"/>
  <c r="H26" i="39"/>
  <c r="H57" i="39"/>
  <c r="N74" i="39"/>
  <c r="H83" i="39"/>
  <c r="N26" i="39"/>
  <c r="H74" i="39"/>
  <c r="H69" i="39"/>
  <c r="H131" i="39"/>
  <c r="L136" i="39"/>
  <c r="I26" i="39"/>
  <c r="N83" i="39"/>
  <c r="N57" i="39"/>
  <c r="H120" i="39"/>
  <c r="H33" i="39"/>
  <c r="L112" i="39"/>
  <c r="N139" i="39"/>
  <c r="N123" i="39"/>
  <c r="L144" i="39"/>
  <c r="N29" i="39"/>
  <c r="H43" i="39"/>
  <c r="H64" i="39"/>
  <c r="N112" i="39"/>
  <c r="L83" i="39"/>
  <c r="N69" i="39"/>
  <c r="N33" i="39"/>
  <c r="H123" i="39"/>
  <c r="H112" i="39"/>
  <c r="H103" i="39"/>
  <c r="H89" i="39"/>
  <c r="H144" i="39"/>
  <c r="L123" i="39"/>
  <c r="L120" i="39"/>
  <c r="H139" i="39"/>
  <c r="Q27" i="39"/>
  <c r="Q31" i="39"/>
  <c r="R31" i="39" s="1"/>
  <c r="Q15" i="39"/>
  <c r="Q21" i="39"/>
  <c r="Q23" i="39"/>
  <c r="Q20" i="39"/>
  <c r="L89" i="39"/>
  <c r="L139" i="39"/>
  <c r="Q30" i="39"/>
  <c r="R12" i="4"/>
  <c r="Q28" i="39"/>
  <c r="N89" i="39"/>
  <c r="N103" i="39"/>
  <c r="N43" i="39"/>
  <c r="N131" i="39"/>
  <c r="L131" i="39"/>
  <c r="L103" i="39"/>
  <c r="N38" i="39"/>
  <c r="M64" i="39" l="1"/>
  <c r="M29" i="39"/>
  <c r="O29" i="39"/>
  <c r="M57" i="39"/>
  <c r="O57" i="39"/>
  <c r="M38" i="39"/>
  <c r="O38" i="39"/>
  <c r="M43" i="39"/>
  <c r="O43" i="39"/>
  <c r="M12" i="39"/>
  <c r="M60" i="39"/>
  <c r="O60" i="39"/>
  <c r="M69" i="39"/>
  <c r="O69" i="39"/>
  <c r="I73" i="39"/>
  <c r="M74" i="39"/>
  <c r="O74" i="39"/>
  <c r="M26" i="39"/>
  <c r="O26" i="39"/>
  <c r="M33" i="39"/>
  <c r="O33" i="39"/>
  <c r="I80" i="39"/>
  <c r="H80" i="39"/>
  <c r="N80" i="39"/>
  <c r="O83" i="39"/>
  <c r="L80" i="39"/>
  <c r="M153" i="39"/>
  <c r="S12" i="4"/>
  <c r="R23" i="39"/>
  <c r="R21" i="39"/>
  <c r="R19" i="39"/>
  <c r="O123" i="39"/>
  <c r="R30" i="39"/>
  <c r="R268" i="39"/>
  <c r="R20" i="39"/>
  <c r="R15" i="39"/>
  <c r="R27" i="39"/>
  <c r="N224" i="39"/>
  <c r="O224" i="39" s="1"/>
  <c r="O229" i="39"/>
  <c r="M103" i="39"/>
  <c r="M123" i="39"/>
  <c r="O103" i="39"/>
  <c r="O144" i="39"/>
  <c r="M144" i="39"/>
  <c r="R28" i="39"/>
  <c r="R24" i="39"/>
  <c r="O120" i="39"/>
  <c r="M120" i="39"/>
  <c r="M83" i="39"/>
  <c r="M112" i="39"/>
  <c r="O112" i="39"/>
  <c r="M89" i="39"/>
  <c r="O89" i="39"/>
  <c r="M136" i="39"/>
  <c r="L73" i="39"/>
  <c r="M139" i="39"/>
  <c r="O139" i="39"/>
  <c r="M269" i="39"/>
  <c r="M185" i="39"/>
  <c r="N64" i="39"/>
  <c r="O64" i="39" s="1"/>
  <c r="M131" i="39"/>
  <c r="N73" i="39"/>
  <c r="O131" i="39"/>
  <c r="M264" i="39"/>
  <c r="O136" i="39"/>
  <c r="J163" i="39"/>
  <c r="K183" i="39"/>
  <c r="R54" i="35"/>
  <c r="R35" i="37"/>
  <c r="I262" i="39"/>
  <c r="I236" i="39" s="1"/>
  <c r="L42" i="39"/>
  <c r="L11" i="39"/>
  <c r="K21" i="35"/>
  <c r="J188" i="39"/>
  <c r="K188" i="39" s="1"/>
  <c r="I42" i="39"/>
  <c r="I11" i="39"/>
  <c r="H11" i="39"/>
  <c r="R29" i="35"/>
  <c r="R27" i="35"/>
  <c r="R61" i="54"/>
  <c r="P163" i="39"/>
  <c r="R163" i="39" s="1"/>
  <c r="R21" i="35"/>
  <c r="P315" i="39"/>
  <c r="P188" i="39"/>
  <c r="R16" i="37"/>
  <c r="P120" i="39"/>
  <c r="P26" i="39"/>
  <c r="P64" i="39"/>
  <c r="P38" i="39"/>
  <c r="P60" i="39"/>
  <c r="P69" i="39"/>
  <c r="P33" i="39"/>
  <c r="P12" i="39"/>
  <c r="P83" i="39"/>
  <c r="P103" i="39"/>
  <c r="P112" i="39"/>
  <c r="P43" i="39"/>
  <c r="P89" i="39"/>
  <c r="P123" i="39"/>
  <c r="P42" i="37"/>
  <c r="P38" i="37" s="1"/>
  <c r="Q232" i="39"/>
  <c r="R232" i="39" s="1"/>
  <c r="Q195" i="39"/>
  <c r="R195" i="39" s="1"/>
  <c r="P262" i="39"/>
  <c r="P236" i="39" s="1"/>
  <c r="H185" i="39"/>
  <c r="H153" i="39" s="1"/>
  <c r="J32" i="54"/>
  <c r="K32" i="54" s="1"/>
  <c r="H262" i="39"/>
  <c r="H236" i="39" s="1"/>
  <c r="R48" i="37"/>
  <c r="S29" i="4"/>
  <c r="S26" i="4"/>
  <c r="J35" i="54"/>
  <c r="N216" i="39"/>
  <c r="J255" i="39"/>
  <c r="K255" i="39" s="1"/>
  <c r="H315" i="39"/>
  <c r="Q53" i="35"/>
  <c r="R53" i="35" s="1"/>
  <c r="Q192" i="39"/>
  <c r="R192" i="39" s="1"/>
  <c r="N202" i="39"/>
  <c r="O202" i="39" s="1"/>
  <c r="H73" i="39"/>
  <c r="J280" i="39"/>
  <c r="K280" i="39" s="1"/>
  <c r="K63" i="54"/>
  <c r="K61" i="54"/>
  <c r="J277" i="39"/>
  <c r="K277" i="39" s="1"/>
  <c r="K65" i="54"/>
  <c r="J286" i="39"/>
  <c r="K286" i="39" s="1"/>
  <c r="K64" i="54"/>
  <c r="J285" i="39"/>
  <c r="K285" i="39" s="1"/>
  <c r="K49" i="54"/>
  <c r="J251" i="39"/>
  <c r="K251" i="39" s="1"/>
  <c r="J279" i="39"/>
  <c r="K279" i="39" s="1"/>
  <c r="K62" i="54"/>
  <c r="J289" i="39"/>
  <c r="K289" i="39" s="1"/>
  <c r="K68" i="54"/>
  <c r="K66" i="54"/>
  <c r="J287" i="39"/>
  <c r="K287" i="39" s="1"/>
  <c r="K67" i="54"/>
  <c r="J288" i="39"/>
  <c r="K288" i="39" s="1"/>
  <c r="Q202" i="39"/>
  <c r="R202" i="39" s="1"/>
  <c r="R37" i="35"/>
  <c r="Q191" i="39"/>
  <c r="R191" i="39" s="1"/>
  <c r="Q277" i="39"/>
  <c r="R277" i="39" s="1"/>
  <c r="N148" i="39"/>
  <c r="O148" i="39" s="1"/>
  <c r="O21" i="35"/>
  <c r="H11" i="37"/>
  <c r="L262" i="39"/>
  <c r="N196" i="39"/>
  <c r="O196" i="39" s="1"/>
  <c r="N269" i="39"/>
  <c r="O269" i="39" s="1"/>
  <c r="J264" i="39"/>
  <c r="K264" i="39" s="1"/>
  <c r="I96" i="37"/>
  <c r="O14" i="37"/>
  <c r="M14" i="37"/>
  <c r="Q264" i="39"/>
  <c r="R264" i="39" s="1"/>
  <c r="N231" i="39"/>
  <c r="O231" i="39" s="1"/>
  <c r="J196" i="39"/>
  <c r="K196" i="39" s="1"/>
  <c r="Q269" i="39"/>
  <c r="R269" i="39" s="1"/>
  <c r="J269" i="39"/>
  <c r="K269" i="39" s="1"/>
  <c r="M38" i="37"/>
  <c r="M42" i="37"/>
  <c r="N264" i="39"/>
  <c r="O264" i="39" s="1"/>
  <c r="Q42" i="37"/>
  <c r="R43" i="37"/>
  <c r="O43" i="37"/>
  <c r="O42" i="37"/>
  <c r="Q285" i="39"/>
  <c r="R285" i="39" s="1"/>
  <c r="Q279" i="39"/>
  <c r="R279" i="39" s="1"/>
  <c r="I317" i="39"/>
  <c r="M317" i="39" s="1"/>
  <c r="N9" i="54"/>
  <c r="R63" i="54"/>
  <c r="Q188" i="39"/>
  <c r="R55" i="35"/>
  <c r="N296" i="39"/>
  <c r="O296" i="39" s="1"/>
  <c r="Q296" i="39"/>
  <c r="R296" i="39" s="1"/>
  <c r="M54" i="35"/>
  <c r="M53" i="35"/>
  <c r="Q20" i="35"/>
  <c r="O20" i="35"/>
  <c r="H42" i="39"/>
  <c r="Q12" i="39"/>
  <c r="Q26" i="39"/>
  <c r="M42" i="39" l="1"/>
  <c r="O80" i="39"/>
  <c r="M73" i="39"/>
  <c r="O73" i="39"/>
  <c r="M11" i="39"/>
  <c r="M80" i="39"/>
  <c r="K163" i="39"/>
  <c r="R188" i="39"/>
  <c r="J91" i="39"/>
  <c r="K91" i="39" s="1"/>
  <c r="N42" i="39"/>
  <c r="O42" i="39" s="1"/>
  <c r="N215" i="39"/>
  <c r="O215" i="39" s="1"/>
  <c r="O216" i="39"/>
  <c r="R26" i="39"/>
  <c r="L236" i="39"/>
  <c r="M236" i="39" s="1"/>
  <c r="M262" i="39"/>
  <c r="R12" i="39"/>
  <c r="K37" i="37"/>
  <c r="R20" i="35"/>
  <c r="O9" i="54"/>
  <c r="N317" i="39"/>
  <c r="O317" i="39" s="1"/>
  <c r="L10" i="39"/>
  <c r="I10" i="39"/>
  <c r="H10" i="39"/>
  <c r="H9" i="39" s="1"/>
  <c r="R191" i="4"/>
  <c r="R189" i="4"/>
  <c r="K38" i="35"/>
  <c r="Q10" i="35"/>
  <c r="J283" i="39"/>
  <c r="K283" i="39" s="1"/>
  <c r="P11" i="39"/>
  <c r="P42" i="39"/>
  <c r="P80" i="39"/>
  <c r="Q231" i="39"/>
  <c r="R231" i="39" s="1"/>
  <c r="H316" i="39"/>
  <c r="H319" i="39" s="1"/>
  <c r="K38" i="37"/>
  <c r="K33" i="37"/>
  <c r="J233" i="39"/>
  <c r="K233" i="39" s="1"/>
  <c r="K34" i="37"/>
  <c r="K41" i="37"/>
  <c r="K56" i="37"/>
  <c r="K28" i="37"/>
  <c r="K35" i="37"/>
  <c r="K39" i="37"/>
  <c r="K40" i="37"/>
  <c r="K31" i="37"/>
  <c r="J54" i="35"/>
  <c r="K54" i="35" s="1"/>
  <c r="K35" i="35"/>
  <c r="K59" i="35"/>
  <c r="K58" i="35"/>
  <c r="K31" i="35"/>
  <c r="K60" i="35"/>
  <c r="K57" i="35"/>
  <c r="K41" i="35"/>
  <c r="K34" i="35"/>
  <c r="K56" i="35"/>
  <c r="K63" i="35"/>
  <c r="K29" i="35"/>
  <c r="K32" i="35"/>
  <c r="K39" i="35"/>
  <c r="K40" i="35"/>
  <c r="K36" i="35"/>
  <c r="K30" i="35"/>
  <c r="Q196" i="39"/>
  <c r="Q14" i="37"/>
  <c r="O28" i="37"/>
  <c r="R32" i="37"/>
  <c r="O12" i="37"/>
  <c r="I11" i="37"/>
  <c r="N11" i="37" s="1"/>
  <c r="M12" i="37"/>
  <c r="K14" i="37"/>
  <c r="R42" i="37"/>
  <c r="Q38" i="37"/>
  <c r="R38" i="37" s="1"/>
  <c r="N38" i="37"/>
  <c r="O38" i="37" s="1"/>
  <c r="Q57" i="54"/>
  <c r="N262" i="39"/>
  <c r="O262" i="39" s="1"/>
  <c r="O10" i="35"/>
  <c r="N53" i="35"/>
  <c r="O53" i="35" s="1"/>
  <c r="L9" i="35"/>
  <c r="M314" i="39"/>
  <c r="M10" i="39" l="1"/>
  <c r="H323" i="39"/>
  <c r="R10" i="35"/>
  <c r="Q9" i="35"/>
  <c r="R9" i="35" s="1"/>
  <c r="N9" i="35"/>
  <c r="N315" i="39" s="1"/>
  <c r="Q226" i="39"/>
  <c r="R226" i="39" s="1"/>
  <c r="L91" i="4"/>
  <c r="J219" i="39"/>
  <c r="K219" i="39" s="1"/>
  <c r="J46" i="35"/>
  <c r="J126" i="39"/>
  <c r="K126" i="39" s="1"/>
  <c r="J79" i="39"/>
  <c r="K79" i="39" s="1"/>
  <c r="L149" i="4"/>
  <c r="L148" i="4"/>
  <c r="L126" i="4"/>
  <c r="L79" i="4"/>
  <c r="K29" i="37"/>
  <c r="J30" i="37"/>
  <c r="K30" i="37" s="1"/>
  <c r="L76" i="4"/>
  <c r="L138" i="4"/>
  <c r="L47" i="4"/>
  <c r="L34" i="4"/>
  <c r="L56" i="4"/>
  <c r="L153" i="4"/>
  <c r="L106" i="4"/>
  <c r="L30" i="4"/>
  <c r="L110" i="4"/>
  <c r="L112" i="4"/>
  <c r="L124" i="4"/>
  <c r="L143" i="4"/>
  <c r="L65" i="4"/>
  <c r="L92" i="4"/>
  <c r="L54" i="4"/>
  <c r="L66" i="4"/>
  <c r="L174" i="4"/>
  <c r="L176" i="4"/>
  <c r="L195" i="4"/>
  <c r="L39" i="4"/>
  <c r="L140" i="4"/>
  <c r="L64" i="4"/>
  <c r="L75" i="4"/>
  <c r="L41" i="4"/>
  <c r="L147" i="4"/>
  <c r="L67" i="4"/>
  <c r="L146" i="4"/>
  <c r="L196" i="4"/>
  <c r="L127" i="4"/>
  <c r="L131" i="4"/>
  <c r="L100" i="4"/>
  <c r="L70" i="4"/>
  <c r="L116" i="4"/>
  <c r="L121" i="4"/>
  <c r="L199" i="4"/>
  <c r="L44" i="4"/>
  <c r="L170" i="4"/>
  <c r="L29" i="4"/>
  <c r="L115" i="4"/>
  <c r="L99" i="4"/>
  <c r="L172" i="4"/>
  <c r="L145" i="4"/>
  <c r="L83" i="4"/>
  <c r="L135" i="4"/>
  <c r="L158" i="4"/>
  <c r="L49" i="4"/>
  <c r="L63" i="4"/>
  <c r="L136" i="4"/>
  <c r="L95" i="4"/>
  <c r="L84" i="4"/>
  <c r="L163" i="4"/>
  <c r="L52" i="4"/>
  <c r="L134" i="4"/>
  <c r="L111" i="4"/>
  <c r="L119" i="4"/>
  <c r="L43" i="4"/>
  <c r="L137" i="4"/>
  <c r="L104" i="4"/>
  <c r="L90" i="4"/>
  <c r="L198" i="4"/>
  <c r="L125" i="4"/>
  <c r="L89" i="4"/>
  <c r="L152" i="4"/>
  <c r="L57" i="4"/>
  <c r="L157" i="4"/>
  <c r="L133" i="4"/>
  <c r="L123" i="4"/>
  <c r="L162" i="4"/>
  <c r="L102" i="4"/>
  <c r="L154" i="4"/>
  <c r="L37" i="4"/>
  <c r="L98" i="4"/>
  <c r="L160" i="4"/>
  <c r="L155" i="4"/>
  <c r="L164" i="4"/>
  <c r="L88" i="4"/>
  <c r="L42" i="4"/>
  <c r="L48" i="4"/>
  <c r="L128" i="4"/>
  <c r="L31" i="4"/>
  <c r="L50" i="4"/>
  <c r="L33" i="4"/>
  <c r="L97" i="4"/>
  <c r="L206" i="4"/>
  <c r="L93" i="4"/>
  <c r="L200" i="4"/>
  <c r="L171" i="4"/>
  <c r="L80" i="4"/>
  <c r="L132" i="4"/>
  <c r="L109" i="4"/>
  <c r="J217" i="39"/>
  <c r="K217" i="39" s="1"/>
  <c r="L130" i="4"/>
  <c r="L103" i="4"/>
  <c r="L151" i="4"/>
  <c r="L108" i="4"/>
  <c r="L38" i="4"/>
  <c r="L74" i="4"/>
  <c r="L161" i="4"/>
  <c r="L59" i="4"/>
  <c r="L46" i="4"/>
  <c r="L94" i="4"/>
  <c r="L120" i="4"/>
  <c r="L51" i="4"/>
  <c r="L55" i="4"/>
  <c r="L60" i="4"/>
  <c r="L71" i="4"/>
  <c r="L96" i="4"/>
  <c r="L139" i="4"/>
  <c r="L107" i="4"/>
  <c r="L105" i="4"/>
  <c r="L118" i="4"/>
  <c r="L40" i="4"/>
  <c r="L45" i="4"/>
  <c r="L204" i="4"/>
  <c r="L58" i="4"/>
  <c r="L86" i="4"/>
  <c r="L85" i="4"/>
  <c r="L113" i="4"/>
  <c r="L179" i="4"/>
  <c r="L114" i="4"/>
  <c r="L68" i="4"/>
  <c r="L117" i="4"/>
  <c r="J190" i="39"/>
  <c r="K190" i="39" s="1"/>
  <c r="L32" i="4"/>
  <c r="L175" i="4"/>
  <c r="L87" i="4"/>
  <c r="L201" i="4"/>
  <c r="L169" i="4"/>
  <c r="L129" i="4"/>
  <c r="L73" i="4"/>
  <c r="L36" i="4"/>
  <c r="L27" i="4"/>
  <c r="L72" i="4"/>
  <c r="J209" i="39"/>
  <c r="K209" i="39" s="1"/>
  <c r="L78" i="4"/>
  <c r="L144" i="4"/>
  <c r="L62" i="4"/>
  <c r="L35" i="4"/>
  <c r="L142" i="4"/>
  <c r="L168" i="4"/>
  <c r="L69" i="4"/>
  <c r="L101" i="4"/>
  <c r="L177" i="4"/>
  <c r="L61" i="4"/>
  <c r="J228" i="39"/>
  <c r="K228" i="39" s="1"/>
  <c r="L141" i="4"/>
  <c r="L53" i="4"/>
  <c r="L122" i="4"/>
  <c r="L156" i="4"/>
  <c r="L159" i="4"/>
  <c r="L77" i="4"/>
  <c r="L189" i="4"/>
  <c r="J193" i="39"/>
  <c r="K193" i="39" s="1"/>
  <c r="S171" i="4"/>
  <c r="J218" i="39"/>
  <c r="K218" i="39" s="1"/>
  <c r="K58" i="37"/>
  <c r="J284" i="39"/>
  <c r="K284" i="39" s="1"/>
  <c r="L202" i="4"/>
  <c r="J257" i="39"/>
  <c r="K257" i="39" s="1"/>
  <c r="K36" i="37"/>
  <c r="J232" i="39"/>
  <c r="L197" i="4"/>
  <c r="J229" i="39"/>
  <c r="K229" i="39" s="1"/>
  <c r="L192" i="4"/>
  <c r="J227" i="39"/>
  <c r="K227" i="39" s="1"/>
  <c r="L193" i="4"/>
  <c r="L191" i="4"/>
  <c r="J226" i="39"/>
  <c r="K226" i="39" s="1"/>
  <c r="L194" i="4"/>
  <c r="L190" i="4"/>
  <c r="J225" i="39"/>
  <c r="K225" i="39" s="1"/>
  <c r="J220" i="39"/>
  <c r="K220" i="39" s="1"/>
  <c r="M9" i="35"/>
  <c r="K37" i="35"/>
  <c r="J202" i="39"/>
  <c r="K202" i="39" s="1"/>
  <c r="L178" i="4"/>
  <c r="L173" i="4"/>
  <c r="J204" i="39"/>
  <c r="K204" i="39" s="1"/>
  <c r="L167" i="4"/>
  <c r="K33" i="35"/>
  <c r="J192" i="39"/>
  <c r="K192" i="39" s="1"/>
  <c r="L166" i="4"/>
  <c r="L165" i="4"/>
  <c r="J189" i="39"/>
  <c r="K189" i="39" s="1"/>
  <c r="L19" i="4"/>
  <c r="L25" i="4"/>
  <c r="L24" i="4"/>
  <c r="L22" i="4"/>
  <c r="Q12" i="37"/>
  <c r="R14" i="37"/>
  <c r="J210" i="39"/>
  <c r="K210" i="39" s="1"/>
  <c r="P10" i="39"/>
  <c r="P314" i="39"/>
  <c r="N236" i="39"/>
  <c r="O236" i="39" s="1"/>
  <c r="J297" i="39"/>
  <c r="K297" i="39" s="1"/>
  <c r="K55" i="35"/>
  <c r="K28" i="35"/>
  <c r="J298" i="39"/>
  <c r="K298" i="39" s="1"/>
  <c r="J299" i="39"/>
  <c r="K299" i="39" s="1"/>
  <c r="K53" i="35"/>
  <c r="J301" i="39"/>
  <c r="K301" i="39" s="1"/>
  <c r="J300" i="39"/>
  <c r="K300" i="39" s="1"/>
  <c r="J201" i="39"/>
  <c r="K201" i="39" s="1"/>
  <c r="M28" i="37"/>
  <c r="L316" i="39"/>
  <c r="K57" i="37"/>
  <c r="J256" i="39"/>
  <c r="K256" i="39" s="1"/>
  <c r="Q31" i="37"/>
  <c r="J42" i="37"/>
  <c r="K42" i="37" s="1"/>
  <c r="J230" i="39"/>
  <c r="K230" i="39" s="1"/>
  <c r="Q223" i="39"/>
  <c r="R223" i="39" s="1"/>
  <c r="J282" i="39"/>
  <c r="K282" i="39" s="1"/>
  <c r="I316" i="39"/>
  <c r="K12" i="37"/>
  <c r="Q46" i="54"/>
  <c r="R69" i="54"/>
  <c r="Q50" i="54"/>
  <c r="Q42" i="54"/>
  <c r="Q52" i="54"/>
  <c r="Q55" i="54"/>
  <c r="Q56" i="54"/>
  <c r="Q44" i="54"/>
  <c r="Q47" i="54"/>
  <c r="Q49" i="54"/>
  <c r="Q51" i="54"/>
  <c r="Q45" i="54"/>
  <c r="Q54" i="54"/>
  <c r="Q43" i="54"/>
  <c r="Q48" i="54"/>
  <c r="K54" i="54"/>
  <c r="K56" i="54"/>
  <c r="K52" i="54"/>
  <c r="K58" i="54"/>
  <c r="Q72" i="54"/>
  <c r="R72" i="54" s="1"/>
  <c r="K55" i="54"/>
  <c r="K51" i="54"/>
  <c r="L315" i="39"/>
  <c r="I315" i="39"/>
  <c r="J119" i="39"/>
  <c r="K119" i="39" s="1"/>
  <c r="O314" i="39"/>
  <c r="J216" i="39" l="1"/>
  <c r="K216" i="39" s="1"/>
  <c r="K46" i="35"/>
  <c r="R32" i="54"/>
  <c r="Q315" i="39"/>
  <c r="R315" i="39" s="1"/>
  <c r="J231" i="39"/>
  <c r="K231" i="39" s="1"/>
  <c r="K232" i="39"/>
  <c r="L319" i="39"/>
  <c r="J221" i="39"/>
  <c r="K221" i="39" s="1"/>
  <c r="H321" i="39"/>
  <c r="H322" i="39"/>
  <c r="K11" i="37"/>
  <c r="J215" i="39"/>
  <c r="K215" i="39" s="1"/>
  <c r="J224" i="39"/>
  <c r="K224" i="39" s="1"/>
  <c r="N22" i="39"/>
  <c r="O22" i="39" s="1"/>
  <c r="N24" i="39"/>
  <c r="O24" i="39" s="1"/>
  <c r="N25" i="39"/>
  <c r="O25" i="39" s="1"/>
  <c r="N19" i="39"/>
  <c r="O19" i="39" s="1"/>
  <c r="Q58" i="54"/>
  <c r="R58" i="54" s="1"/>
  <c r="R31" i="37"/>
  <c r="Q11" i="37"/>
  <c r="M27" i="35"/>
  <c r="H320" i="39"/>
  <c r="K20" i="35"/>
  <c r="J296" i="39"/>
  <c r="K296" i="39" s="1"/>
  <c r="M11" i="37"/>
  <c r="L215" i="39"/>
  <c r="M215" i="39" s="1"/>
  <c r="I319" i="39"/>
  <c r="Q222" i="39"/>
  <c r="R222" i="39" s="1"/>
  <c r="M316" i="39"/>
  <c r="R49" i="54"/>
  <c r="Q251" i="39"/>
  <c r="R251" i="39" s="1"/>
  <c r="R42" i="54"/>
  <c r="Q244" i="39"/>
  <c r="R244" i="39" s="1"/>
  <c r="Q35" i="54"/>
  <c r="K59" i="54"/>
  <c r="J263" i="39"/>
  <c r="K263" i="39" s="1"/>
  <c r="K44" i="54"/>
  <c r="J246" i="39"/>
  <c r="K246" i="39" s="1"/>
  <c r="R54" i="54"/>
  <c r="Q258" i="39"/>
  <c r="R258" i="39" s="1"/>
  <c r="Q249" i="39"/>
  <c r="R249" i="39" s="1"/>
  <c r="R47" i="54"/>
  <c r="K41" i="54"/>
  <c r="J243" i="39"/>
  <c r="K243" i="39" s="1"/>
  <c r="K50" i="54"/>
  <c r="J252" i="39"/>
  <c r="K252" i="39" s="1"/>
  <c r="K57" i="54"/>
  <c r="J261" i="39"/>
  <c r="K261" i="39" s="1"/>
  <c r="R65" i="54"/>
  <c r="Q286" i="39"/>
  <c r="R286" i="39" s="1"/>
  <c r="Q247" i="39"/>
  <c r="R247" i="39" s="1"/>
  <c r="R45" i="54"/>
  <c r="R44" i="54"/>
  <c r="Q246" i="39"/>
  <c r="R246" i="39" s="1"/>
  <c r="Q288" i="39"/>
  <c r="R288" i="39" s="1"/>
  <c r="R67" i="54"/>
  <c r="J242" i="39"/>
  <c r="K242" i="39" s="1"/>
  <c r="K40" i="54"/>
  <c r="K47" i="54"/>
  <c r="J249" i="39"/>
  <c r="K249" i="39" s="1"/>
  <c r="R48" i="54"/>
  <c r="Q250" i="39"/>
  <c r="R250" i="39" s="1"/>
  <c r="R51" i="54"/>
  <c r="Q253" i="39"/>
  <c r="R253" i="39" s="1"/>
  <c r="Q260" i="39"/>
  <c r="R260" i="39" s="1"/>
  <c r="R56" i="54"/>
  <c r="R50" i="54"/>
  <c r="Q252" i="39"/>
  <c r="R252" i="39" s="1"/>
  <c r="Q255" i="39"/>
  <c r="R255" i="39" s="1"/>
  <c r="J238" i="39"/>
  <c r="K238" i="39" s="1"/>
  <c r="K36" i="54"/>
  <c r="J239" i="39"/>
  <c r="K239" i="39" s="1"/>
  <c r="K37" i="54"/>
  <c r="K45" i="54"/>
  <c r="J247" i="39"/>
  <c r="K247" i="39" s="1"/>
  <c r="K43" i="54"/>
  <c r="J245" i="39"/>
  <c r="K245" i="39" s="1"/>
  <c r="K42" i="54"/>
  <c r="J244" i="39"/>
  <c r="K244" i="39" s="1"/>
  <c r="R55" i="54"/>
  <c r="Q259" i="39"/>
  <c r="R259" i="39" s="1"/>
  <c r="R46" i="54"/>
  <c r="Q248" i="39"/>
  <c r="R248" i="39" s="1"/>
  <c r="J250" i="39"/>
  <c r="K250" i="39" s="1"/>
  <c r="K48" i="54"/>
  <c r="R68" i="54"/>
  <c r="Q289" i="39"/>
  <c r="R289" i="39" s="1"/>
  <c r="J241" i="39"/>
  <c r="K241" i="39" s="1"/>
  <c r="K39" i="54"/>
  <c r="K38" i="54"/>
  <c r="J240" i="39"/>
  <c r="K240" i="39" s="1"/>
  <c r="K46" i="54"/>
  <c r="J248" i="39"/>
  <c r="K248" i="39" s="1"/>
  <c r="K60" i="54"/>
  <c r="J294" i="39"/>
  <c r="K294" i="39" s="1"/>
  <c r="R43" i="54"/>
  <c r="Q245" i="39"/>
  <c r="R245" i="39" s="1"/>
  <c r="Q261" i="39"/>
  <c r="R261" i="39" s="1"/>
  <c r="R57" i="54"/>
  <c r="R52" i="54"/>
  <c r="Q254" i="39"/>
  <c r="R254" i="39" s="1"/>
  <c r="R66" i="54"/>
  <c r="Q287" i="39"/>
  <c r="R287" i="39" s="1"/>
  <c r="O9" i="35"/>
  <c r="M315" i="39"/>
  <c r="Q34" i="54" l="1"/>
  <c r="Q9" i="54" s="1"/>
  <c r="O11" i="37"/>
  <c r="N316" i="39"/>
  <c r="O316" i="39" s="1"/>
  <c r="K316" i="39"/>
  <c r="Q316" i="39"/>
  <c r="O27" i="35"/>
  <c r="N191" i="39"/>
  <c r="O191" i="39" s="1"/>
  <c r="J9" i="35"/>
  <c r="S316" i="39"/>
  <c r="J262" i="39"/>
  <c r="K262" i="39" s="1"/>
  <c r="Q262" i="39"/>
  <c r="R262" i="39" s="1"/>
  <c r="J34" i="54"/>
  <c r="K35" i="54"/>
  <c r="R35" i="54"/>
  <c r="Q237" i="39"/>
  <c r="R237" i="39" s="1"/>
  <c r="M319" i="39"/>
  <c r="O315" i="39"/>
  <c r="K9" i="35" l="1"/>
  <c r="J9" i="54"/>
  <c r="K9" i="54" s="1"/>
  <c r="K34" i="54"/>
  <c r="L9" i="39"/>
  <c r="N185" i="39"/>
  <c r="J315" i="39"/>
  <c r="S315" i="39" s="1"/>
  <c r="N319" i="39"/>
  <c r="Q236" i="39"/>
  <c r="R236" i="39" s="1"/>
  <c r="R9" i="54"/>
  <c r="R34" i="54"/>
  <c r="L323" i="39" l="1"/>
  <c r="L322" i="39"/>
  <c r="O185" i="39"/>
  <c r="N153" i="39"/>
  <c r="O153" i="39" s="1"/>
  <c r="O319" i="39"/>
  <c r="K315" i="39"/>
  <c r="L321" i="39"/>
  <c r="J317" i="39"/>
  <c r="Q317" i="39"/>
  <c r="R317" i="39" s="1"/>
  <c r="L320" i="39" l="1"/>
  <c r="S317" i="39"/>
  <c r="K317" i="39"/>
  <c r="J19" i="39" l="1"/>
  <c r="K19" i="39" s="1"/>
  <c r="J18" i="39" l="1"/>
  <c r="K18" i="39" s="1"/>
  <c r="J15" i="39" l="1"/>
  <c r="K15" i="39" s="1"/>
  <c r="J14" i="39" l="1"/>
  <c r="K14" i="39" s="1"/>
  <c r="P196" i="39" l="1"/>
  <c r="R196" i="39" s="1"/>
  <c r="P12" i="37" l="1"/>
  <c r="R12" i="37" s="1"/>
  <c r="P185" i="39"/>
  <c r="P153" i="39" s="1"/>
  <c r="P9" i="39" s="1"/>
  <c r="P11" i="37" l="1"/>
  <c r="R11" i="37" l="1"/>
  <c r="P316" i="39"/>
  <c r="R316" i="39" s="1"/>
  <c r="P319" i="39" l="1"/>
  <c r="P323" i="39" s="1"/>
  <c r="P322" i="39" l="1"/>
  <c r="P320" i="39"/>
  <c r="P321" i="39"/>
  <c r="L28" i="4"/>
  <c r="S176" i="4"/>
  <c r="S177" i="4"/>
  <c r="L26" i="4" l="1"/>
  <c r="L205" i="4"/>
  <c r="J306" i="39"/>
  <c r="K306" i="39" s="1"/>
  <c r="L208" i="4"/>
  <c r="L21" i="4"/>
  <c r="L23" i="4"/>
  <c r="L20" i="4"/>
  <c r="J207" i="39"/>
  <c r="K207" i="39" s="1"/>
  <c r="Q155" i="39"/>
  <c r="R155" i="39" s="1"/>
  <c r="R154" i="4"/>
  <c r="Q135" i="39"/>
  <c r="R135" i="39" s="1"/>
  <c r="Q58" i="39"/>
  <c r="R58" i="39" s="1"/>
  <c r="S114" i="4"/>
  <c r="S68" i="4"/>
  <c r="S42" i="4"/>
  <c r="S200" i="4"/>
  <c r="Q44" i="39"/>
  <c r="R44" i="39" s="1"/>
  <c r="Q78" i="39"/>
  <c r="R78" i="39" s="1"/>
  <c r="Q134" i="39"/>
  <c r="R134" i="39" s="1"/>
  <c r="S65" i="4"/>
  <c r="S47" i="4"/>
  <c r="Q225" i="39"/>
  <c r="R225" i="39" s="1"/>
  <c r="Q132" i="39"/>
  <c r="R132" i="39" s="1"/>
  <c r="Q133" i="39"/>
  <c r="R133" i="39" s="1"/>
  <c r="Q95" i="39"/>
  <c r="R95" i="39" s="1"/>
  <c r="Q229" i="39"/>
  <c r="R229" i="39" s="1"/>
  <c r="Q97" i="39"/>
  <c r="R97" i="39" s="1"/>
  <c r="Q54" i="39"/>
  <c r="R54" i="39" s="1"/>
  <c r="Q96" i="39"/>
  <c r="R96" i="39" s="1"/>
  <c r="Q151" i="39"/>
  <c r="R151" i="39" s="1"/>
  <c r="Q99" i="39"/>
  <c r="R99" i="39" s="1"/>
  <c r="Q86" i="39"/>
  <c r="R86" i="39" s="1"/>
  <c r="S170" i="4"/>
  <c r="Q46" i="39"/>
  <c r="R46" i="39" s="1"/>
  <c r="Q93" i="39"/>
  <c r="R93" i="39" s="1"/>
  <c r="Q106" i="39"/>
  <c r="R106" i="39" s="1"/>
  <c r="S141" i="4"/>
  <c r="S125" i="4"/>
  <c r="R35" i="39"/>
  <c r="S192" i="4"/>
  <c r="Q122" i="39"/>
  <c r="R122" i="39" s="1"/>
  <c r="Q303" i="39"/>
  <c r="Q146" i="39"/>
  <c r="R146" i="39" s="1"/>
  <c r="Q158" i="39"/>
  <c r="R158" i="39" s="1"/>
  <c r="Q107" i="39"/>
  <c r="R107" i="39" s="1"/>
  <c r="Q127" i="39"/>
  <c r="R127" i="39" s="1"/>
  <c r="Q143" i="39"/>
  <c r="R143" i="39" s="1"/>
  <c r="Q200" i="39"/>
  <c r="R200" i="39" s="1"/>
  <c r="S123" i="4"/>
  <c r="Q105" i="39"/>
  <c r="R105" i="39" s="1"/>
  <c r="S116" i="4"/>
  <c r="S60" i="4"/>
  <c r="Q119" i="39"/>
  <c r="R119" i="39" s="1"/>
  <c r="Q124" i="39"/>
  <c r="R124" i="39" s="1"/>
  <c r="Q118" i="39"/>
  <c r="R118" i="39" s="1"/>
  <c r="S158" i="4"/>
  <c r="Q75" i="39"/>
  <c r="R75" i="39" s="1"/>
  <c r="Q37" i="39"/>
  <c r="R37" i="39" s="1"/>
  <c r="Q194" i="39"/>
  <c r="R194" i="39" s="1"/>
  <c r="Q304" i="39"/>
  <c r="R304" i="39" s="1"/>
  <c r="Q51" i="39"/>
  <c r="R51" i="39" s="1"/>
  <c r="Q41" i="39"/>
  <c r="R41" i="39" s="1"/>
  <c r="S87" i="4"/>
  <c r="S100" i="4"/>
  <c r="S202" i="4"/>
  <c r="Q145" i="39"/>
  <c r="R145" i="39" s="1"/>
  <c r="Q116" i="39"/>
  <c r="R116" i="39" s="1"/>
  <c r="Q92" i="39"/>
  <c r="R92" i="39" s="1"/>
  <c r="S139" i="4"/>
  <c r="Q49" i="39"/>
  <c r="R49" i="39" s="1"/>
  <c r="Q186" i="39"/>
  <c r="R186" i="39" s="1"/>
  <c r="Q59" i="39"/>
  <c r="R59" i="39" s="1"/>
  <c r="Q88" i="39"/>
  <c r="Q147" i="39"/>
  <c r="R147" i="39" s="1"/>
  <c r="Q102" i="39"/>
  <c r="R102" i="39" s="1"/>
  <c r="Q208" i="39"/>
  <c r="R208" i="39" s="1"/>
  <c r="Q129" i="39"/>
  <c r="R129" i="39" s="1"/>
  <c r="Q53" i="39"/>
  <c r="R53" i="39" s="1"/>
  <c r="Q187" i="39"/>
  <c r="R187" i="39" s="1"/>
  <c r="Q190" i="39"/>
  <c r="R190" i="39" s="1"/>
  <c r="S172" i="4"/>
  <c r="S57" i="4"/>
  <c r="Q32" i="39"/>
  <c r="R32" i="39" s="1"/>
  <c r="Q70" i="39"/>
  <c r="R70" i="39" s="1"/>
  <c r="S56" i="4"/>
  <c r="Q149" i="39"/>
  <c r="S72" i="4"/>
  <c r="Q161" i="39"/>
  <c r="R161" i="39" s="1"/>
  <c r="Q94" i="39"/>
  <c r="R94" i="39" s="1"/>
  <c r="Q162" i="39"/>
  <c r="R162" i="39" s="1"/>
  <c r="S98" i="4"/>
  <c r="Q40" i="39"/>
  <c r="R40" i="39" s="1"/>
  <c r="S195" i="4"/>
  <c r="Q55" i="39"/>
  <c r="R55" i="39" s="1"/>
  <c r="Q101" i="39"/>
  <c r="R101" i="39" s="1"/>
  <c r="Q305" i="39"/>
  <c r="R305" i="39" s="1"/>
  <c r="Q216" i="39"/>
  <c r="R216" i="39" s="1"/>
  <c r="Q117" i="39"/>
  <c r="R117" i="39" s="1"/>
  <c r="Q76" i="39"/>
  <c r="R76" i="39" s="1"/>
  <c r="S152" i="4"/>
  <c r="Q109" i="39"/>
  <c r="R109" i="39" s="1"/>
  <c r="Q48" i="39"/>
  <c r="R48" i="39" s="1"/>
  <c r="S39" i="4"/>
  <c r="S175" i="4"/>
  <c r="Q113" i="39"/>
  <c r="R113" i="39" s="1"/>
  <c r="Q111" i="39"/>
  <c r="R111" i="39" s="1"/>
  <c r="S84" i="4"/>
  <c r="Q61" i="39"/>
  <c r="R61" i="39" s="1"/>
  <c r="S71" i="4"/>
  <c r="S142" i="4"/>
  <c r="Q67" i="39"/>
  <c r="R67" i="39" s="1"/>
  <c r="Q110" i="39"/>
  <c r="R110" i="39" s="1"/>
  <c r="Q62" i="39"/>
  <c r="R62" i="39" s="1"/>
  <c r="Q128" i="39"/>
  <c r="R128" i="39" s="1"/>
  <c r="S208" i="4"/>
  <c r="S189" i="4"/>
  <c r="S186" i="4"/>
  <c r="J34" i="39"/>
  <c r="K34" i="39" s="1"/>
  <c r="J76" i="39"/>
  <c r="K76" i="39" s="1"/>
  <c r="J187" i="39"/>
  <c r="K187" i="39" s="1"/>
  <c r="J129" i="39"/>
  <c r="K129" i="39" s="1"/>
  <c r="J37" i="39"/>
  <c r="K37" i="39" s="1"/>
  <c r="J159" i="39"/>
  <c r="K159" i="39" s="1"/>
  <c r="J55" i="39"/>
  <c r="K55" i="39" s="1"/>
  <c r="J93" i="39"/>
  <c r="K93" i="39" s="1"/>
  <c r="J145" i="39"/>
  <c r="K145" i="39" s="1"/>
  <c r="J134" i="39"/>
  <c r="K134" i="39" s="1"/>
  <c r="J102" i="39"/>
  <c r="K102" i="39" s="1"/>
  <c r="J56" i="39"/>
  <c r="K56" i="39" s="1"/>
  <c r="J130" i="39"/>
  <c r="K130" i="39" s="1"/>
  <c r="J77" i="39"/>
  <c r="K77" i="39" s="1"/>
  <c r="J32" i="39"/>
  <c r="K32" i="39" s="1"/>
  <c r="J106" i="39"/>
  <c r="K106" i="39" s="1"/>
  <c r="J107" i="39"/>
  <c r="K107" i="39" s="1"/>
  <c r="J98" i="39"/>
  <c r="K98" i="39" s="1"/>
  <c r="J104" i="39"/>
  <c r="K104" i="39" s="1"/>
  <c r="J45" i="39"/>
  <c r="K45" i="39" s="1"/>
  <c r="J125" i="39"/>
  <c r="K125" i="39" s="1"/>
  <c r="J99" i="39"/>
  <c r="K99" i="39" s="1"/>
  <c r="J133" i="39"/>
  <c r="K133" i="39" s="1"/>
  <c r="J100" i="39"/>
  <c r="K100" i="39" s="1"/>
  <c r="J205" i="39"/>
  <c r="K205" i="39" s="1"/>
  <c r="J86" i="39"/>
  <c r="K86" i="39" s="1"/>
  <c r="J96" i="39"/>
  <c r="K96" i="39" s="1"/>
  <c r="J58" i="39"/>
  <c r="K58" i="39" s="1"/>
  <c r="J105" i="39"/>
  <c r="K105" i="39" s="1"/>
  <c r="J208" i="39"/>
  <c r="K208" i="39" s="1"/>
  <c r="J124" i="39"/>
  <c r="K124" i="39" s="1"/>
  <c r="J51" i="39"/>
  <c r="K51" i="39" s="1"/>
  <c r="J304" i="39"/>
  <c r="K304" i="39" s="1"/>
  <c r="J109" i="39"/>
  <c r="K109" i="39" s="1"/>
  <c r="J50" i="39"/>
  <c r="K50" i="39" s="1"/>
  <c r="R83" i="4"/>
  <c r="R120" i="4"/>
  <c r="J31" i="39"/>
  <c r="K31" i="39" s="1"/>
  <c r="J65" i="39"/>
  <c r="K65" i="39" s="1"/>
  <c r="J61" i="39"/>
  <c r="K61" i="39" s="1"/>
  <c r="J141" i="39"/>
  <c r="K141" i="39" s="1"/>
  <c r="J25" i="39"/>
  <c r="K25" i="39" s="1"/>
  <c r="J53" i="39"/>
  <c r="K53" i="39" s="1"/>
  <c r="J127" i="39"/>
  <c r="K127" i="39" s="1"/>
  <c r="J85" i="39"/>
  <c r="K85" i="39" s="1"/>
  <c r="J54" i="39"/>
  <c r="K54" i="39" s="1"/>
  <c r="J113" i="39"/>
  <c r="K113" i="39" s="1"/>
  <c r="J116" i="39"/>
  <c r="K116" i="39" s="1"/>
  <c r="J72" i="39"/>
  <c r="K72" i="39" s="1"/>
  <c r="J59" i="39"/>
  <c r="K59" i="39" s="1"/>
  <c r="J67" i="39"/>
  <c r="K67" i="39" s="1"/>
  <c r="J114" i="39"/>
  <c r="K114" i="39" s="1"/>
  <c r="J118" i="39"/>
  <c r="K118" i="39" s="1"/>
  <c r="J39" i="39"/>
  <c r="K39" i="39" s="1"/>
  <c r="Q207" i="39"/>
  <c r="R207" i="39" s="1"/>
  <c r="J101" i="39"/>
  <c r="K101" i="39" s="1"/>
  <c r="J95" i="39"/>
  <c r="K95" i="39" s="1"/>
  <c r="J146" i="39"/>
  <c r="K146" i="39" s="1"/>
  <c r="R43" i="4"/>
  <c r="R74" i="4"/>
  <c r="J70" i="39"/>
  <c r="K70" i="39" s="1"/>
  <c r="J66" i="39"/>
  <c r="K66" i="39" s="1"/>
  <c r="Q52" i="39"/>
  <c r="R52" i="39" s="1"/>
  <c r="Q39" i="39"/>
  <c r="R39" i="39" s="1"/>
  <c r="Q206" i="39"/>
  <c r="R206" i="39" s="1"/>
  <c r="J88" i="39"/>
  <c r="K88" i="39" s="1"/>
  <c r="Q47" i="39"/>
  <c r="R47" i="39" s="1"/>
  <c r="J21" i="39"/>
  <c r="K21" i="39" s="1"/>
  <c r="J111" i="39"/>
  <c r="K111" i="39" s="1"/>
  <c r="J142" i="39"/>
  <c r="K142" i="39" s="1"/>
  <c r="J128" i="39"/>
  <c r="K128" i="39" s="1"/>
  <c r="J46" i="39"/>
  <c r="K46" i="39" s="1"/>
  <c r="J78" i="39"/>
  <c r="K78" i="39" s="1"/>
  <c r="S201" i="4"/>
  <c r="Q227" i="39"/>
  <c r="R227" i="39" s="1"/>
  <c r="J30" i="39"/>
  <c r="K30" i="39" s="1"/>
  <c r="Q85" i="39"/>
  <c r="R85" i="39" s="1"/>
  <c r="Q65" i="39"/>
  <c r="R65" i="39" s="1"/>
  <c r="Q108" i="39"/>
  <c r="R108" i="39" s="1"/>
  <c r="Q72" i="39"/>
  <c r="R72" i="39" s="1"/>
  <c r="Q141" i="39"/>
  <c r="R141" i="39" s="1"/>
  <c r="Q84" i="39"/>
  <c r="R84" i="39" s="1"/>
  <c r="J140" i="39"/>
  <c r="K140" i="39" s="1"/>
  <c r="Q114" i="39"/>
  <c r="R114" i="39" s="1"/>
  <c r="J71" i="39"/>
  <c r="K71" i="39" s="1"/>
  <c r="J35" i="39"/>
  <c r="K35" i="39" s="1"/>
  <c r="S198" i="4"/>
  <c r="S136" i="4"/>
  <c r="J121" i="39"/>
  <c r="K121" i="39" s="1"/>
  <c r="Q56" i="39"/>
  <c r="R56" i="39" s="1"/>
  <c r="J24" i="39"/>
  <c r="K24" i="39" s="1"/>
  <c r="S164" i="4"/>
  <c r="S199" i="4"/>
  <c r="S46" i="4"/>
  <c r="J122" i="39"/>
  <c r="K122" i="39" s="1"/>
  <c r="Q159" i="39"/>
  <c r="R159" i="39" s="1"/>
  <c r="J186" i="39"/>
  <c r="K186" i="39" s="1"/>
  <c r="Q50" i="39"/>
  <c r="R50" i="39" s="1"/>
  <c r="S187" i="4"/>
  <c r="J147" i="39"/>
  <c r="K147" i="39" s="1"/>
  <c r="J94" i="39"/>
  <c r="K94" i="39" s="1"/>
  <c r="Q100" i="39"/>
  <c r="R100" i="39" s="1"/>
  <c r="J200" i="39"/>
  <c r="K200" i="39" s="1"/>
  <c r="Q63" i="39"/>
  <c r="R63" i="39" s="1"/>
  <c r="J28" i="39"/>
  <c r="K28" i="39" s="1"/>
  <c r="S188" i="4"/>
  <c r="J20" i="39"/>
  <c r="K20" i="39" s="1"/>
  <c r="S134" i="4"/>
  <c r="S137" i="4"/>
  <c r="Q137" i="39"/>
  <c r="R137" i="39" s="1"/>
  <c r="S119" i="4"/>
  <c r="S206" i="4"/>
  <c r="J23" i="39"/>
  <c r="K23" i="39" s="1"/>
  <c r="S58" i="4"/>
  <c r="S104" i="4"/>
  <c r="R103" i="4"/>
  <c r="Q104" i="39"/>
  <c r="R104" i="39" s="1"/>
  <c r="S146" i="4"/>
  <c r="S90" i="4"/>
  <c r="R89" i="4"/>
  <c r="Q90" i="39"/>
  <c r="R90" i="39" s="1"/>
  <c r="S194" i="4"/>
  <c r="Q228" i="39"/>
  <c r="R228" i="39" s="1"/>
  <c r="S159" i="4"/>
  <c r="S173" i="4"/>
  <c r="Q140" i="39"/>
  <c r="R140" i="39" s="1"/>
  <c r="S169" i="4"/>
  <c r="R144" i="4"/>
  <c r="S77" i="4"/>
  <c r="S161" i="4"/>
  <c r="S117" i="4"/>
  <c r="S51" i="4"/>
  <c r="S143" i="4"/>
  <c r="J97" i="39"/>
  <c r="K97" i="39" s="1"/>
  <c r="S138" i="4"/>
  <c r="J52" i="39"/>
  <c r="K52" i="39" s="1"/>
  <c r="S50" i="4"/>
  <c r="S157" i="4"/>
  <c r="J63" i="39"/>
  <c r="K63" i="39" s="1"/>
  <c r="J84" i="39"/>
  <c r="K84" i="39" s="1"/>
  <c r="S151" i="4"/>
  <c r="S40" i="4"/>
  <c r="S112" i="4"/>
  <c r="S121" i="4"/>
  <c r="S93" i="4"/>
  <c r="S99" i="4"/>
  <c r="S44" i="4"/>
  <c r="S70" i="4"/>
  <c r="R69" i="4"/>
  <c r="S111" i="4"/>
  <c r="R162" i="4"/>
  <c r="S37" i="4"/>
  <c r="S86" i="4"/>
  <c r="R38" i="4"/>
  <c r="S101" i="4"/>
  <c r="J41" i="39"/>
  <c r="K41" i="39" s="1"/>
  <c r="J47" i="39"/>
  <c r="K47" i="39" s="1"/>
  <c r="S54" i="4"/>
  <c r="J108" i="39"/>
  <c r="K108" i="39" s="1"/>
  <c r="S94" i="4"/>
  <c r="S49" i="4"/>
  <c r="S32" i="4"/>
  <c r="S124" i="4"/>
  <c r="S109" i="4"/>
  <c r="J75" i="39"/>
  <c r="K75" i="39" s="1"/>
  <c r="S204" i="4"/>
  <c r="Q115" i="39"/>
  <c r="R115" i="39" s="1"/>
  <c r="S190" i="4"/>
  <c r="S147" i="4"/>
  <c r="S133" i="4"/>
  <c r="S115" i="4"/>
  <c r="Q121" i="39"/>
  <c r="R121" i="39" s="1"/>
  <c r="S127" i="4"/>
  <c r="S53" i="4"/>
  <c r="S62" i="4"/>
  <c r="S41" i="4"/>
  <c r="J143" i="39"/>
  <c r="K143" i="39" s="1"/>
  <c r="S191" i="4"/>
  <c r="S92" i="4"/>
  <c r="S66" i="4"/>
  <c r="S174" i="4"/>
  <c r="S122" i="4"/>
  <c r="J22" i="39"/>
  <c r="K22" i="39" s="1"/>
  <c r="Q138" i="39"/>
  <c r="R138" i="39" s="1"/>
  <c r="S78" i="4"/>
  <c r="S163" i="4"/>
  <c r="J44" i="39"/>
  <c r="K44" i="39" s="1"/>
  <c r="S59" i="4"/>
  <c r="S149" i="4"/>
  <c r="J151" i="39"/>
  <c r="K151" i="39" s="1"/>
  <c r="S61" i="4"/>
  <c r="Q71" i="39"/>
  <c r="R71" i="39" s="1"/>
  <c r="S160" i="4"/>
  <c r="J92" i="39"/>
  <c r="K92" i="39" s="1"/>
  <c r="J137" i="39"/>
  <c r="K137" i="39" s="1"/>
  <c r="S135" i="4"/>
  <c r="S95" i="4"/>
  <c r="J90" i="39"/>
  <c r="K90" i="39" s="1"/>
  <c r="S35" i="4"/>
  <c r="J155" i="39"/>
  <c r="J48" i="39"/>
  <c r="K48" i="39" s="1"/>
  <c r="S140" i="4"/>
  <c r="S148" i="4"/>
  <c r="J115" i="39"/>
  <c r="K115" i="39" s="1"/>
  <c r="J62" i="39"/>
  <c r="K62" i="39" s="1"/>
  <c r="Q189" i="39"/>
  <c r="R189" i="39" s="1"/>
  <c r="S165" i="4"/>
  <c r="S156" i="4"/>
  <c r="Q66" i="39"/>
  <c r="R66" i="39" s="1"/>
  <c r="S145" i="4"/>
  <c r="Q199" i="39"/>
  <c r="R199" i="39" s="1"/>
  <c r="S106" i="4"/>
  <c r="S132" i="4"/>
  <c r="Q125" i="39"/>
  <c r="R125" i="39" s="1"/>
  <c r="Q205" i="39"/>
  <c r="R205" i="39" s="1"/>
  <c r="S168" i="4"/>
  <c r="S197" i="4"/>
  <c r="Q98" i="39"/>
  <c r="R98" i="39" s="1"/>
  <c r="R203" i="4"/>
  <c r="S128" i="4"/>
  <c r="S96" i="4"/>
  <c r="J40" i="39"/>
  <c r="K40" i="39" s="1"/>
  <c r="J135" i="39"/>
  <c r="K135" i="39" s="1"/>
  <c r="S184" i="4"/>
  <c r="Q157" i="39"/>
  <c r="R157" i="39" s="1"/>
  <c r="S36" i="4"/>
  <c r="R34" i="39"/>
  <c r="S113" i="4"/>
  <c r="S55" i="4"/>
  <c r="S88" i="4"/>
  <c r="S129" i="4"/>
  <c r="S107" i="4"/>
  <c r="S110" i="4"/>
  <c r="S97" i="4"/>
  <c r="J110" i="39"/>
  <c r="K110" i="39" s="1"/>
  <c r="J49" i="39"/>
  <c r="K49" i="39" s="1"/>
  <c r="S67" i="4"/>
  <c r="S118" i="4"/>
  <c r="R33" i="4"/>
  <c r="R36" i="39"/>
  <c r="S48" i="4"/>
  <c r="S85" i="4"/>
  <c r="S75" i="4"/>
  <c r="Q160" i="39"/>
  <c r="R160" i="39" s="1"/>
  <c r="J27" i="39"/>
  <c r="K27" i="39" s="1"/>
  <c r="J303" i="39"/>
  <c r="K303" i="39" s="1"/>
  <c r="Q204" i="39"/>
  <c r="R204" i="39" s="1"/>
  <c r="S102" i="4"/>
  <c r="Q198" i="39"/>
  <c r="R198" i="39" s="1"/>
  <c r="Q142" i="39"/>
  <c r="R142" i="39" s="1"/>
  <c r="J132" i="39"/>
  <c r="K132" i="39" s="1"/>
  <c r="Q77" i="39"/>
  <c r="R77" i="39" s="1"/>
  <c r="S205" i="4"/>
  <c r="S34" i="4"/>
  <c r="R306" i="39"/>
  <c r="R64" i="4"/>
  <c r="S45" i="4"/>
  <c r="Q45" i="39"/>
  <c r="R45" i="39" s="1"/>
  <c r="S108" i="4"/>
  <c r="S130" i="4"/>
  <c r="S131" i="4"/>
  <c r="S52" i="4"/>
  <c r="S155" i="4"/>
  <c r="J117" i="39"/>
  <c r="K117" i="39" s="1"/>
  <c r="S63" i="4"/>
  <c r="S105" i="4"/>
  <c r="J36" i="39"/>
  <c r="K36" i="39" s="1"/>
  <c r="Q152" i="39"/>
  <c r="R152" i="39" s="1"/>
  <c r="S76" i="4"/>
  <c r="Q130" i="39"/>
  <c r="R130" i="39" s="1"/>
  <c r="J138" i="39"/>
  <c r="K138" i="39" s="1"/>
  <c r="S193" i="4"/>
  <c r="S166" i="4"/>
  <c r="J198" i="39"/>
  <c r="K198" i="39" s="1"/>
  <c r="J302" i="39" l="1"/>
  <c r="R303" i="39"/>
  <c r="Q302" i="39"/>
  <c r="K155" i="39"/>
  <c r="J154" i="39"/>
  <c r="K154" i="39" s="1"/>
  <c r="R11" i="4"/>
  <c r="Q148" i="39"/>
  <c r="R148" i="39" s="1"/>
  <c r="R149" i="39"/>
  <c r="Q87" i="39"/>
  <c r="R87" i="39" s="1"/>
  <c r="R88" i="39"/>
  <c r="J123" i="39"/>
  <c r="K123" i="39" s="1"/>
  <c r="J12" i="39"/>
  <c r="K12" i="39" s="1"/>
  <c r="J185" i="39"/>
  <c r="N20" i="39"/>
  <c r="O20" i="39" s="1"/>
  <c r="N23" i="39"/>
  <c r="O23" i="39" s="1"/>
  <c r="N21" i="39"/>
  <c r="O21" i="39" s="1"/>
  <c r="L203" i="4"/>
  <c r="L12" i="4"/>
  <c r="K11" i="4"/>
  <c r="Q203" i="39"/>
  <c r="R203" i="39" s="1"/>
  <c r="J203" i="39"/>
  <c r="K203" i="39" s="1"/>
  <c r="Q215" i="39"/>
  <c r="Q154" i="39"/>
  <c r="R154" i="39" s="1"/>
  <c r="Q131" i="39"/>
  <c r="R131" i="39" s="1"/>
  <c r="Q29" i="39"/>
  <c r="R29" i="39" s="1"/>
  <c r="Q144" i="39"/>
  <c r="R144" i="39" s="1"/>
  <c r="Q57" i="39"/>
  <c r="R57" i="39" s="1"/>
  <c r="Q74" i="39"/>
  <c r="R73" i="4"/>
  <c r="S120" i="4"/>
  <c r="Q43" i="39"/>
  <c r="R43" i="39" s="1"/>
  <c r="S83" i="4"/>
  <c r="Q60" i="39"/>
  <c r="R60" i="39" s="1"/>
  <c r="J149" i="39"/>
  <c r="S43" i="4"/>
  <c r="J64" i="39"/>
  <c r="K64" i="39" s="1"/>
  <c r="Q38" i="39"/>
  <c r="R38" i="39" s="1"/>
  <c r="J57" i="39"/>
  <c r="K57" i="39" s="1"/>
  <c r="J87" i="39"/>
  <c r="K87" i="39" s="1"/>
  <c r="S74" i="4"/>
  <c r="J69" i="39"/>
  <c r="K69" i="39" s="1"/>
  <c r="J33" i="39"/>
  <c r="K33" i="39" s="1"/>
  <c r="Q83" i="39"/>
  <c r="R83" i="39" s="1"/>
  <c r="J144" i="39"/>
  <c r="K144" i="39" s="1"/>
  <c r="J120" i="39"/>
  <c r="K120" i="39" s="1"/>
  <c r="J29" i="39"/>
  <c r="K29" i="39" s="1"/>
  <c r="Q123" i="39"/>
  <c r="R123" i="39" s="1"/>
  <c r="J139" i="39"/>
  <c r="K139" i="39" s="1"/>
  <c r="S89" i="4"/>
  <c r="Q69" i="39"/>
  <c r="R69" i="39" s="1"/>
  <c r="J237" i="39"/>
  <c r="S64" i="4"/>
  <c r="J38" i="39"/>
  <c r="K38" i="39" s="1"/>
  <c r="S203" i="4"/>
  <c r="J26" i="39"/>
  <c r="K26" i="39" s="1"/>
  <c r="S144" i="4"/>
  <c r="S69" i="4"/>
  <c r="J60" i="39"/>
  <c r="K60" i="39" s="1"/>
  <c r="J112" i="39"/>
  <c r="K112" i="39" s="1"/>
  <c r="Q112" i="39"/>
  <c r="R112" i="39" s="1"/>
  <c r="S103" i="4"/>
  <c r="J136" i="39"/>
  <c r="K136" i="39" s="1"/>
  <c r="Q103" i="39"/>
  <c r="R103" i="39" s="1"/>
  <c r="R80" i="4"/>
  <c r="S33" i="4"/>
  <c r="Q64" i="39"/>
  <c r="R64" i="39" s="1"/>
  <c r="S154" i="4"/>
  <c r="Q136" i="39"/>
  <c r="R136" i="39" s="1"/>
  <c r="Q120" i="39"/>
  <c r="R120" i="39" s="1"/>
  <c r="J89" i="39"/>
  <c r="K89" i="39" s="1"/>
  <c r="J74" i="39"/>
  <c r="K74" i="39" s="1"/>
  <c r="S38" i="4"/>
  <c r="S162" i="4"/>
  <c r="R153" i="4"/>
  <c r="Q139" i="39"/>
  <c r="R139" i="39" s="1"/>
  <c r="J103" i="39"/>
  <c r="K103" i="39" s="1"/>
  <c r="J131" i="39"/>
  <c r="K131" i="39" s="1"/>
  <c r="Q33" i="39"/>
  <c r="R33" i="39" s="1"/>
  <c r="J43" i="39"/>
  <c r="K43" i="39" s="1"/>
  <c r="Q89" i="39"/>
  <c r="R89" i="39" s="1"/>
  <c r="Q185" i="39"/>
  <c r="R185" i="39" s="1"/>
  <c r="J83" i="39"/>
  <c r="Q224" i="39"/>
  <c r="R224" i="39" s="1"/>
  <c r="J153" i="39" l="1"/>
  <c r="K153" i="39" s="1"/>
  <c r="K83" i="39"/>
  <c r="J80" i="39"/>
  <c r="K80" i="39" s="1"/>
  <c r="R10" i="4"/>
  <c r="S11" i="4"/>
  <c r="K185" i="39"/>
  <c r="Q73" i="39"/>
  <c r="R73" i="39" s="1"/>
  <c r="R74" i="39"/>
  <c r="J148" i="39"/>
  <c r="K148" i="39" s="1"/>
  <c r="K149" i="39"/>
  <c r="J236" i="39"/>
  <c r="K236" i="39" s="1"/>
  <c r="K237" i="39"/>
  <c r="J73" i="39"/>
  <c r="K73" i="39" s="1"/>
  <c r="K10" i="4"/>
  <c r="J11" i="39"/>
  <c r="K11" i="39" s="1"/>
  <c r="I9" i="39"/>
  <c r="N12" i="39"/>
  <c r="O12" i="39" s="1"/>
  <c r="J42" i="39"/>
  <c r="K42" i="39" s="1"/>
  <c r="L11" i="4"/>
  <c r="S73" i="4"/>
  <c r="Q42" i="39"/>
  <c r="R42" i="39" s="1"/>
  <c r="Q11" i="39"/>
  <c r="Q153" i="39"/>
  <c r="R153" i="39" s="1"/>
  <c r="Q80" i="39"/>
  <c r="R80" i="39" s="1"/>
  <c r="S80" i="4"/>
  <c r="S153" i="4"/>
  <c r="I323" i="39" l="1"/>
  <c r="M9" i="39"/>
  <c r="M323" i="39" s="1"/>
  <c r="I322" i="39"/>
  <c r="S10" i="4"/>
  <c r="R9" i="4"/>
  <c r="R11" i="39"/>
  <c r="Q10" i="39"/>
  <c r="R10" i="39" s="1"/>
  <c r="I321" i="39"/>
  <c r="I320" i="39"/>
  <c r="N11" i="39"/>
  <c r="O11" i="39" s="1"/>
  <c r="K9" i="4"/>
  <c r="L10" i="4"/>
  <c r="J10" i="39"/>
  <c r="J9" i="39" l="1"/>
  <c r="K9" i="39" s="1"/>
  <c r="K10" i="39"/>
  <c r="M322" i="39"/>
  <c r="L9" i="4"/>
  <c r="Q314" i="39"/>
  <c r="R314" i="39" s="1"/>
  <c r="S9" i="4"/>
  <c r="M320" i="39"/>
  <c r="M321" i="39"/>
  <c r="N10" i="39"/>
  <c r="O10" i="39" s="1"/>
  <c r="Q9" i="39"/>
  <c r="R9" i="39" s="1"/>
  <c r="J314" i="39"/>
  <c r="S314" i="39" s="1"/>
  <c r="N9" i="39" l="1"/>
  <c r="Q319" i="39"/>
  <c r="J319" i="39"/>
  <c r="S319" i="39" s="1"/>
  <c r="K314" i="39"/>
  <c r="N323" i="39" l="1"/>
  <c r="O9" i="39"/>
  <c r="O323" i="39" s="1"/>
  <c r="Q322" i="39"/>
  <c r="R319" i="39"/>
  <c r="R322" i="39" s="1"/>
  <c r="J323" i="39"/>
  <c r="S321" i="39"/>
  <c r="Q323" i="39"/>
  <c r="N322" i="39"/>
  <c r="J322" i="39"/>
  <c r="N321" i="39"/>
  <c r="N320" i="39"/>
  <c r="K319" i="39"/>
  <c r="K323" i="39" s="1"/>
  <c r="Q321" i="39"/>
  <c r="Q320" i="39"/>
  <c r="J321" i="39"/>
  <c r="J320" i="39"/>
  <c r="O322" i="39" l="1"/>
  <c r="R323" i="39"/>
  <c r="K322" i="39"/>
  <c r="K321" i="39"/>
  <c r="O321" i="39"/>
  <c r="O320" i="39"/>
  <c r="K320" i="39"/>
  <c r="R320" i="39"/>
  <c r="R321" i="39"/>
  <c r="S5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P261" authorId="0" shapeId="0" xr:uid="{00000000-0006-0000-0100-000001000000}">
      <text>
        <r>
          <rPr>
            <b/>
            <sz val="9"/>
            <color indexed="81"/>
            <rFont val="Tahoma"/>
            <family val="2"/>
          </rPr>
          <t>2021 Y 2022, CAMBIA NOMBRE DE IMPUTACION. P03 Y P05-06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H56" authorId="0" shapeId="0" xr:uid="{B3864467-17D0-430D-BA8D-EB60DB69011B}">
      <text>
        <r>
          <rPr>
            <sz val="9"/>
            <color indexed="81"/>
            <rFont val="Tahoma"/>
            <family val="2"/>
          </rPr>
          <t>Decreto N°3, rebajo esta linea durante el mes de enero
en M$70.960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Stefanni Cifuentes Rivas</author>
  </authors>
  <commentList>
    <comment ref="J1" authorId="0" shapeId="0" xr:uid="{055CBC05-0FE6-48C9-8E0C-5ABAFC22CCE7}">
      <text>
        <r>
          <rPr>
            <b/>
            <sz val="9"/>
            <color indexed="81"/>
            <rFont val="Tahoma"/>
            <family val="2"/>
          </rPr>
          <t>INFLACTOR. 
3,0 DIC
1,2 ENERO
0,64 JUNIO</t>
        </r>
        <r>
          <rPr>
            <sz val="9"/>
            <color indexed="81"/>
            <rFont val="Tahoma"/>
            <family val="2"/>
          </rPr>
          <t xml:space="preserve">
</t>
        </r>
      </text>
    </comment>
    <comment ref="BP82" authorId="0" shapeId="0" xr:uid="{00000000-0006-0000-0300-000001000000}">
      <text>
        <r>
          <rPr>
            <b/>
            <sz val="9"/>
            <color indexed="81"/>
            <rFont val="Tahoma"/>
            <family val="2"/>
          </rPr>
          <t>SE AGREGAN m$ 800 QUE NO FUERON DISTRIBUIDOS AL MOMENTOS DE CIERRE DEL MES</t>
        </r>
      </text>
    </comment>
  </commentList>
</comments>
</file>

<file path=xl/sharedStrings.xml><?xml version="1.0" encoding="utf-8"?>
<sst xmlns="http://schemas.openxmlformats.org/spreadsheetml/2006/main" count="13061" uniqueCount="1075">
  <si>
    <t>ENERO</t>
  </si>
  <si>
    <t xml:space="preserve">24   </t>
  </si>
  <si>
    <t xml:space="preserve">  </t>
  </si>
  <si>
    <t xml:space="preserve"> A Otras Entidades Públicas </t>
  </si>
  <si>
    <t xml:space="preserve">33   </t>
  </si>
  <si>
    <t xml:space="preserve"> Al Gobierno Central </t>
  </si>
  <si>
    <t>MARZO</t>
  </si>
  <si>
    <t>ABRIL</t>
  </si>
  <si>
    <t>MAYO</t>
  </si>
  <si>
    <t>JUNIO</t>
  </si>
  <si>
    <t>AGOSTO</t>
  </si>
  <si>
    <t>SEPTIEMBRE</t>
  </si>
  <si>
    <t>OCTUBRE</t>
  </si>
  <si>
    <t>NOVIEMBRE</t>
  </si>
  <si>
    <t>DICIEMBRE</t>
  </si>
  <si>
    <t>BIENES Y SERVICIOS DE CONSUMO</t>
  </si>
  <si>
    <t>GASTOS EN PERSONAL</t>
  </si>
  <si>
    <t>Personal de Planta</t>
  </si>
  <si>
    <t>Sueldos y Sobresueldos</t>
  </si>
  <si>
    <t>Asignación de Antigüedad</t>
  </si>
  <si>
    <t>Asignación Profesional</t>
  </si>
  <si>
    <t>Asignación de Zona</t>
  </si>
  <si>
    <t>Gastos de Representación</t>
  </si>
  <si>
    <t>Asignación de Dirección Superior</t>
  </si>
  <si>
    <t>Asignaciones Compensatorias</t>
  </si>
  <si>
    <t>Asignaciones Sustitutivas</t>
  </si>
  <si>
    <t>Componente Base Asignación de Desempeño</t>
  </si>
  <si>
    <t>Asignación de Responsabilidad Superior</t>
  </si>
  <si>
    <t>Aportes del Empleador</t>
  </si>
  <si>
    <t>A Servicios de Bienestar</t>
  </si>
  <si>
    <t>Otras Cotizaciones Previsionales</t>
  </si>
  <si>
    <t>Asignaciones por Desempeño</t>
  </si>
  <si>
    <t>Desempeño Institucional</t>
  </si>
  <si>
    <t>Desempeño Colectivo</t>
  </si>
  <si>
    <t>Remuneraciones Variables</t>
  </si>
  <si>
    <t>Asignación por Desempeño de Funciones Críticas</t>
  </si>
  <si>
    <t>Trabajos Extraordinarios</t>
  </si>
  <si>
    <t>Comisiones de Servicios en el País</t>
  </si>
  <si>
    <t>Comisiones de Servicios en el Exterior</t>
  </si>
  <si>
    <t>Personal a Contrata</t>
  </si>
  <si>
    <t>Asignación Zonas Extremas</t>
  </si>
  <si>
    <t>Honorarios a Suma Alzada - Personas Naturales</t>
  </si>
  <si>
    <t>Honorarios a Suma Alzada-Honorarios</t>
  </si>
  <si>
    <t>Honorarios a Suma Alzada-Viaticos</t>
  </si>
  <si>
    <t>Textiles, Vestuario y Calzado</t>
  </si>
  <si>
    <t>Vestuario, Accesorios y Prendas Diversas</t>
  </si>
  <si>
    <t>Combustibles y Lubricantes</t>
  </si>
  <si>
    <t>Materiales de Uso o Consumo</t>
  </si>
  <si>
    <t>Insumos, Repuestos y Accesorios Computacionales</t>
  </si>
  <si>
    <t>Materiales para Mantenimiento y Reparaciones de Inmuebles</t>
  </si>
  <si>
    <t>Repuestos y Accesorios para Mantenimiento y Reparaciones de Vehículos</t>
  </si>
  <si>
    <t>Otros</t>
  </si>
  <si>
    <t>Servicios Básicos</t>
  </si>
  <si>
    <t>Electricidad</t>
  </si>
  <si>
    <t>Agua</t>
  </si>
  <si>
    <t>Gas</t>
  </si>
  <si>
    <t>Correo</t>
  </si>
  <si>
    <t>Telefonía Fija</t>
  </si>
  <si>
    <t>Telefonía Celular</t>
  </si>
  <si>
    <t>Acceso a Internet</t>
  </si>
  <si>
    <t>Enlaces de Telecomunicaciones</t>
  </si>
  <si>
    <t>Mantenimiento y Reparación de Vehículos</t>
  </si>
  <si>
    <t>Mantenimiento y Reparación de Máquinas y Equipos de Oficina</t>
  </si>
  <si>
    <t>Mantenimiento y Reparación de Equipos Informáticos</t>
  </si>
  <si>
    <t>Publicidad y Difusión</t>
  </si>
  <si>
    <t>Servicios de Publicidad</t>
  </si>
  <si>
    <t>Servicios de Impresión</t>
  </si>
  <si>
    <t>Servicios Generales</t>
  </si>
  <si>
    <t>Servicios de Aseo</t>
  </si>
  <si>
    <t>Servicios de Vigilancia</t>
  </si>
  <si>
    <t>Servicios de Suscripción y Similares</t>
  </si>
  <si>
    <t>Arriendo de Edificios</t>
  </si>
  <si>
    <t>Gastos Bancarios</t>
  </si>
  <si>
    <t>Servicios Técnicos y Profesionales</t>
  </si>
  <si>
    <t>Estudios e Investigaciones</t>
  </si>
  <si>
    <t>Cursos de Capacitación</t>
  </si>
  <si>
    <t>Otros Gastos en Bienes y Servicios de Consumo</t>
  </si>
  <si>
    <t>Gastos Menores</t>
  </si>
  <si>
    <t>Gastos de Representación, Protocolo y Ceremonial</t>
  </si>
  <si>
    <t>JULIO</t>
  </si>
  <si>
    <t>Programas Informáticos</t>
  </si>
  <si>
    <t>Equipos Informáticos</t>
  </si>
  <si>
    <t>CONSOLIDADO PROGRAMA 01</t>
  </si>
  <si>
    <t>SERVICIO DE LA DEUDA</t>
  </si>
  <si>
    <t>Amortizacion de la Deuda Externa</t>
  </si>
  <si>
    <t>Intereses Deuda Externa</t>
  </si>
  <si>
    <t>Al Gobierno Central</t>
  </si>
  <si>
    <t>A Otras Entidades Publicas</t>
  </si>
  <si>
    <t>Programa Inversión Regional Región Metropolitana</t>
  </si>
  <si>
    <t xml:space="preserve">02            </t>
  </si>
  <si>
    <t xml:space="preserve">04            </t>
  </si>
  <si>
    <t>Sub.</t>
  </si>
  <si>
    <t>Item.</t>
  </si>
  <si>
    <t>Asig.</t>
  </si>
  <si>
    <t>Sub</t>
  </si>
  <si>
    <t>Aguinaldos</t>
  </si>
  <si>
    <t>Bono de Escolaridad</t>
  </si>
  <si>
    <t xml:space="preserve">Bonos Especiales </t>
  </si>
  <si>
    <t>sueldos base</t>
  </si>
  <si>
    <t>Asignaciónes del DL N° 2.411, de 1978</t>
  </si>
  <si>
    <t>Asignaciónes del DL N° 3.551, de 1981</t>
  </si>
  <si>
    <t xml:space="preserve">Asignación de Responsabilidad Superior </t>
  </si>
  <si>
    <t xml:space="preserve">Otras Remuneraciones </t>
  </si>
  <si>
    <t xml:space="preserve">Para Vehículos </t>
  </si>
  <si>
    <t xml:space="preserve">Materiales de Oficina </t>
  </si>
  <si>
    <t xml:space="preserve">Materiales y útiles de Aseo </t>
  </si>
  <si>
    <t xml:space="preserve">Menaje para Oficina, Casino y Otros </t>
  </si>
  <si>
    <t xml:space="preserve">Otros Materiales, Repuestos y Útiles Diversos para Mantenimiento </t>
  </si>
  <si>
    <t xml:space="preserve">Equipos Menores </t>
  </si>
  <si>
    <t xml:space="preserve">Otros </t>
  </si>
  <si>
    <t>Mantenimiento y Reparaciones.</t>
  </si>
  <si>
    <t>Mantenimiento y Reparación de Edificaciones.</t>
  </si>
  <si>
    <t>Mantenimiento y Reparación de Mobiliarios y Otros.</t>
  </si>
  <si>
    <t>Pasajes, Fletes y Bodegaje.</t>
  </si>
  <si>
    <t>Salas Cunas y/o Jardines Infantiles.</t>
  </si>
  <si>
    <t>Arriendo</t>
  </si>
  <si>
    <t xml:space="preserve">Arriendo de Máquinas  y Equipos </t>
  </si>
  <si>
    <t>Arriendo de Equipos Informaticos</t>
  </si>
  <si>
    <t xml:space="preserve">Servicios Financieros y de Seguros </t>
  </si>
  <si>
    <t xml:space="preserve">Primas y Gastos de Seguros </t>
  </si>
  <si>
    <t>Sercicios Informáticos</t>
  </si>
  <si>
    <t>Provisión Incorporación Mayores Ingresos Propios</t>
  </si>
  <si>
    <t>Provisión Energización</t>
  </si>
  <si>
    <t>Sueldo Bases</t>
  </si>
  <si>
    <t>SALDO FINAL DE CAJA</t>
  </si>
  <si>
    <t>Calzado</t>
  </si>
  <si>
    <t>SI</t>
  </si>
  <si>
    <t>Deuda Flotante</t>
  </si>
  <si>
    <t>Asig. Del DL N° 3,551, de 1981</t>
  </si>
  <si>
    <t>[ 1 ]</t>
  </si>
  <si>
    <t>[ 2 ]</t>
  </si>
  <si>
    <t>[ 3 ]</t>
  </si>
  <si>
    <t>[ 3/2 ]</t>
  </si>
  <si>
    <t>[ 2/1 ]</t>
  </si>
  <si>
    <t>A Organismos Internacionales</t>
  </si>
  <si>
    <t>CONSOLIDADO POR SUBTITULO PROGRAMA 02</t>
  </si>
  <si>
    <t>FEBRERO</t>
  </si>
  <si>
    <t>CONSOLIDADO PROGRAMA 02</t>
  </si>
  <si>
    <t>Programa Academia Capacitación Muncipal y Regional</t>
  </si>
  <si>
    <t xml:space="preserve">Deuda Flotante </t>
  </si>
  <si>
    <t>TOTAL</t>
  </si>
  <si>
    <t>Municipalidades</t>
  </si>
  <si>
    <t>CONSOLIDADO POR SUBTITULO PROGRAMA 03</t>
  </si>
  <si>
    <t>CONSOLIDADO PROGRAMA 03</t>
  </si>
  <si>
    <t>PRESTAMOS</t>
  </si>
  <si>
    <t>De Fomento</t>
  </si>
  <si>
    <t>CONSOLIDADO PROGRAMAS</t>
  </si>
  <si>
    <t xml:space="preserve">TRANSFERENCIAS CORRIENTES </t>
  </si>
  <si>
    <t xml:space="preserve">PRESTAMOS </t>
  </si>
  <si>
    <t xml:space="preserve">TRANSFERENCIAS DE CAPITAL </t>
  </si>
  <si>
    <t>CONSOLIDADO POR PROGRAMA</t>
  </si>
  <si>
    <t>FRC</t>
  </si>
  <si>
    <t xml:space="preserve">Presupuesto inicial </t>
  </si>
  <si>
    <t>21.</t>
  </si>
  <si>
    <t>001.</t>
  </si>
  <si>
    <t>01.</t>
  </si>
  <si>
    <t>002.</t>
  </si>
  <si>
    <t>003.</t>
  </si>
  <si>
    <t>004.</t>
  </si>
  <si>
    <t>005.</t>
  </si>
  <si>
    <t>02.</t>
  </si>
  <si>
    <t>03.</t>
  </si>
  <si>
    <t>.02</t>
  </si>
  <si>
    <t>.002</t>
  </si>
  <si>
    <t>.003</t>
  </si>
  <si>
    <t>.03</t>
  </si>
  <si>
    <t>.04</t>
  </si>
  <si>
    <t>.001</t>
  </si>
  <si>
    <t>.007</t>
  </si>
  <si>
    <t>.008</t>
  </si>
  <si>
    <t>.009</t>
  </si>
  <si>
    <t>.010</t>
  </si>
  <si>
    <t>.011</t>
  </si>
  <si>
    <t>.012</t>
  </si>
  <si>
    <t>.013</t>
  </si>
  <si>
    <t>.999</t>
  </si>
  <si>
    <t>.05</t>
  </si>
  <si>
    <t>.004</t>
  </si>
  <si>
    <t>.005</t>
  </si>
  <si>
    <t>.006</t>
  </si>
  <si>
    <t>.06</t>
  </si>
  <si>
    <t>.07</t>
  </si>
  <si>
    <t>.08</t>
  </si>
  <si>
    <t>.09</t>
  </si>
  <si>
    <t>.10</t>
  </si>
  <si>
    <t>.11</t>
  </si>
  <si>
    <t>.12</t>
  </si>
  <si>
    <t>.110</t>
  </si>
  <si>
    <t>.111</t>
  </si>
  <si>
    <t>.014</t>
  </si>
  <si>
    <t>.015</t>
  </si>
  <si>
    <t>.017</t>
  </si>
  <si>
    <t>.021</t>
  </si>
  <si>
    <t>.024</t>
  </si>
  <si>
    <t>.025</t>
  </si>
  <si>
    <t>.130</t>
  </si>
  <si>
    <t>.190</t>
  </si>
  <si>
    <t>.418</t>
  </si>
  <si>
    <t>.421</t>
  </si>
  <si>
    <t>.426</t>
  </si>
  <si>
    <t>.429</t>
  </si>
  <si>
    <t>34.02</t>
  </si>
  <si>
    <t>34.04</t>
  </si>
  <si>
    <t>34.07</t>
  </si>
  <si>
    <t>21.01.004.007</t>
  </si>
  <si>
    <t>Productos Químicos</t>
  </si>
  <si>
    <t>Servicios Informáticos</t>
  </si>
  <si>
    <t>22.12.003</t>
  </si>
  <si>
    <t>TRANSFERENCIAS CORRIENTES</t>
  </si>
  <si>
    <t>A Otras Entidades Públicas</t>
  </si>
  <si>
    <t>29.06</t>
  </si>
  <si>
    <t>29.06.001</t>
  </si>
  <si>
    <t>Equipos Computacionales y Periféricos</t>
  </si>
  <si>
    <t>29.07</t>
  </si>
  <si>
    <t>Programas Computacionales</t>
  </si>
  <si>
    <t>24.03.026</t>
  </si>
  <si>
    <t>Buscador</t>
  </si>
  <si>
    <t>24.03.403</t>
  </si>
  <si>
    <t>Municipalidades (Compensación por Predios Exentos)</t>
  </si>
  <si>
    <t>33.03.110</t>
  </si>
  <si>
    <t>Municipalidades (Fondo de Incentivo al Mejoramiento de la Gestión Municipal)</t>
  </si>
  <si>
    <t>32.04.002</t>
  </si>
  <si>
    <t>.026</t>
  </si>
  <si>
    <t>.403</t>
  </si>
  <si>
    <t>.016</t>
  </si>
  <si>
    <t>24.02.101</t>
  </si>
  <si>
    <t>24.02.103</t>
  </si>
  <si>
    <t>24.02.104</t>
  </si>
  <si>
    <t>24.02.105</t>
  </si>
  <si>
    <t>24.02.106</t>
  </si>
  <si>
    <t>24.02.107</t>
  </si>
  <si>
    <t>24.02.108</t>
  </si>
  <si>
    <t>24.02.109</t>
  </si>
  <si>
    <t>24.02.110</t>
  </si>
  <si>
    <t>24.02.111</t>
  </si>
  <si>
    <t>24.02.112</t>
  </si>
  <si>
    <t>24.02.113</t>
  </si>
  <si>
    <t>24.02.114</t>
  </si>
  <si>
    <t>24.02.115</t>
  </si>
  <si>
    <t>Capacitación en Desarrollo Regional y Comunal</t>
  </si>
  <si>
    <t>Capacitacion en Desarrollo Regional y Comunal</t>
  </si>
  <si>
    <t>24.07.002</t>
  </si>
  <si>
    <t>CONSOLIDADO POR SUBTITULO PROGRAMA 05</t>
  </si>
  <si>
    <t>Provisión Fondo Nacional de Desarrollo Regional</t>
  </si>
  <si>
    <t>Provisión Programa Infraestructura Rural</t>
  </si>
  <si>
    <t>Provisión Puesta en Valor del Patrimonio</t>
  </si>
  <si>
    <t>Provisión de Apoyo a la Gestión Subnacional</t>
  </si>
  <si>
    <t>Provisión Programa Saneamiento Sanitario</t>
  </si>
  <si>
    <t>Provisión Programa Residuos Sólidos</t>
  </si>
  <si>
    <t>PROGRAMA 02 - SUBNACIONAL</t>
  </si>
  <si>
    <t>PROGRAMA 03 - DESARROLLO LOCAL</t>
  </si>
  <si>
    <t>Municipalidades (Programa Esterilización y Atención Sanitaria de Animales de Compañía)</t>
  </si>
  <si>
    <t>.406</t>
  </si>
  <si>
    <t>24.03.406</t>
  </si>
  <si>
    <t>.409</t>
  </si>
  <si>
    <t>.415</t>
  </si>
  <si>
    <t>.427</t>
  </si>
  <si>
    <t>.428</t>
  </si>
  <si>
    <t>Oficina Revitalización de Barrios e Infraestructural Patrimonial</t>
  </si>
  <si>
    <t>Oficina de Donación Española</t>
  </si>
  <si>
    <t xml:space="preserve">Programa de Apoyo a la Acreditación de Calidad de Servicios Municipales </t>
  </si>
  <si>
    <t>Municipalidades (Prevención y Mitigación de Riesgos)</t>
  </si>
  <si>
    <t>33.03.111</t>
  </si>
  <si>
    <t>Provisión Regiones Extremas</t>
  </si>
  <si>
    <t>Provisión Territorios Rezagados</t>
  </si>
  <si>
    <t>.500</t>
  </si>
  <si>
    <t>OK</t>
  </si>
  <si>
    <t>Capacitación Directiva o Diplomados</t>
  </si>
  <si>
    <t>Capacitación Alianzas Estratégica Contingente Acción de Apoyo</t>
  </si>
  <si>
    <t>Transferencias - Programa Esterilización</t>
  </si>
  <si>
    <t>Honorarios - Programa Esterilización</t>
  </si>
  <si>
    <t>Viaticos - Programa Esterilización</t>
  </si>
  <si>
    <t>Otros Gastos - Programa Esterilización</t>
  </si>
  <si>
    <t>PRESTACIONES DE SEGURIDAD SOCIAL</t>
  </si>
  <si>
    <t>Fondo Retiro Funcionarios Públicos Ley N° 19.882</t>
  </si>
  <si>
    <t>23.03.003</t>
  </si>
  <si>
    <t>CLASIFICACIÓN PRESUPUESTARIA</t>
  </si>
  <si>
    <t>FORTALECIMIENTO DE LA GESTIÓN SUBNACIONAL</t>
  </si>
  <si>
    <t>TRANSFERENCIAS A GOBIERNOS REGIONALES</t>
  </si>
  <si>
    <t>PROGRAMAS PRESUPUESTARIOS</t>
  </si>
  <si>
    <t>CONSOLIDADO PROGRAMA 05</t>
  </si>
  <si>
    <t>24.02.006</t>
  </si>
  <si>
    <t>OTROS GASTOS CORRIENTES</t>
  </si>
  <si>
    <t>Devoluciones</t>
  </si>
  <si>
    <t>.</t>
  </si>
  <si>
    <t>24.02.004</t>
  </si>
  <si>
    <t>A la Dirección de Arquitectura - MOP</t>
  </si>
  <si>
    <t> A Organismos Internacionales</t>
  </si>
  <si>
    <t>Otros Gastos Financieros Deuda Externa</t>
  </si>
  <si>
    <t>34.06</t>
  </si>
  <si>
    <t>Predios Exentos</t>
  </si>
  <si>
    <t xml:space="preserve">Sistema de Capacitación por Competencias </t>
  </si>
  <si>
    <t>Fondo Concursable Becas - Ley N° 20.742</t>
  </si>
  <si>
    <t>Honorarios Fondo de Becas</t>
  </si>
  <si>
    <t>Viaticos Fondo de Becas</t>
  </si>
  <si>
    <t>Otros Gastos Fondo de Becas</t>
  </si>
  <si>
    <t>Programa de Modernización Municipal</t>
  </si>
  <si>
    <t>24.03.033</t>
  </si>
  <si>
    <t>.033</t>
  </si>
  <si>
    <t>Fondo Concursable Becas - Ley N°20.742</t>
  </si>
  <si>
    <t>Al Sector Privado</t>
  </si>
  <si>
    <t>24.01.100</t>
  </si>
  <si>
    <t>.01</t>
  </si>
  <si>
    <t> Al Sector Privado</t>
  </si>
  <si>
    <t xml:space="preserve">Municipalidades (Compensación por Predios Exentos) </t>
  </si>
  <si>
    <t xml:space="preserve">A Otras Entidades Públicas </t>
  </si>
  <si>
    <t>ADQUISICIÓN DE ACTIVOS NO FINANCIEROS</t>
  </si>
  <si>
    <t>Al Consejo de Monumentos Nacionales</t>
  </si>
  <si>
    <t>24.01.101</t>
  </si>
  <si>
    <t>Alumnos en Práctica</t>
  </si>
  <si>
    <t>007</t>
  </si>
  <si>
    <t>26.01</t>
  </si>
  <si>
    <t>Pago por Servicio de Recolección de Basura</t>
  </si>
  <si>
    <t>Viáticos - Programa Esterilización</t>
  </si>
  <si>
    <t>Prevención y Mitigación de Riesgos</t>
  </si>
  <si>
    <t>Programa de Modernización</t>
  </si>
  <si>
    <t>.602</t>
  </si>
  <si>
    <t>24.07.003</t>
  </si>
  <si>
    <t>A Banco Interamericano de Desarrollo (BID)</t>
  </si>
  <si>
    <t>Otorgamiento de Becas - Aranceles</t>
  </si>
  <si>
    <t>Gastos en Personal - Honorarios</t>
  </si>
  <si>
    <t>Gastos en Personal - Viáticos</t>
  </si>
  <si>
    <t>Otros Gastos Administrativos</t>
  </si>
  <si>
    <t>Suplencias y Reemplazos</t>
  </si>
  <si>
    <t>005</t>
  </si>
  <si>
    <t>Materiales y Útiles Quirúrgicos</t>
  </si>
  <si>
    <t>Municipalidades (Programa de Modernización)</t>
  </si>
  <si>
    <t>006</t>
  </si>
  <si>
    <t xml:space="preserve"> </t>
  </si>
  <si>
    <t>24.01.102</t>
  </si>
  <si>
    <t>Otorgamiento de Becas - Manutención</t>
  </si>
  <si>
    <t>Implementación Ley N 21.020</t>
  </si>
  <si>
    <t>Fondo Concursable</t>
  </si>
  <si>
    <t>Implementación Ley N 21.020 - Fondo Consursable</t>
  </si>
  <si>
    <t>Otorgamiento de Becas Aranceles</t>
  </si>
  <si>
    <t>Otorgamiento de Becas Manutención</t>
  </si>
  <si>
    <t xml:space="preserve">Sistema Información Financiera Municipal </t>
  </si>
  <si>
    <t xml:space="preserve">Gobierno Electrónico Local </t>
  </si>
  <si>
    <t>23.03</t>
  </si>
  <si>
    <t>Concepto Presupuestario</t>
  </si>
  <si>
    <t>Compromiso</t>
  </si>
  <si>
    <t>Devengado</t>
  </si>
  <si>
    <t>Trabajos  Extraordinarios</t>
  </si>
  <si>
    <t>Requerimiento</t>
  </si>
  <si>
    <t>2101002 Aportes del Empleador</t>
  </si>
  <si>
    <t>2101003002 Desempeño Colectivo</t>
  </si>
  <si>
    <t>2101004 Remuneraciones Variables</t>
  </si>
  <si>
    <t>2101005 Aguinaldos y Bonos</t>
  </si>
  <si>
    <t>2101005001 Aguinaldos</t>
  </si>
  <si>
    <t>2101005003 Bonos Especiales</t>
  </si>
  <si>
    <t>2102 Personal a Contrata</t>
  </si>
  <si>
    <t>2102001 Sueldos y Sobresueldos</t>
  </si>
  <si>
    <t>2102001001 Sueldos Bases</t>
  </si>
  <si>
    <t>2102001003 Asignación Profesional</t>
  </si>
  <si>
    <t>2102001004 Asignación de Zona</t>
  </si>
  <si>
    <t>2102002 Aportes del Empleador</t>
  </si>
  <si>
    <t>2102003002 Desempeño Colectivo</t>
  </si>
  <si>
    <t>2102004 Remuneraciones Variables</t>
  </si>
  <si>
    <t>2102005 Aguinaldos y Bonos</t>
  </si>
  <si>
    <t>2102005001 Aguinaldos</t>
  </si>
  <si>
    <t>2102005003 Bonos Especiales</t>
  </si>
  <si>
    <t>2103 Otras Remuneraciones</t>
  </si>
  <si>
    <t>2103005 Suplencias y Reemplazos</t>
  </si>
  <si>
    <t>2103007 Alumnos en Práctica</t>
  </si>
  <si>
    <t>22 BIENES Y SERVICIOS DE CONSUMO</t>
  </si>
  <si>
    <t>2202 Textiles, Vestuario y Calzado</t>
  </si>
  <si>
    <t>2202003 Calzado</t>
  </si>
  <si>
    <t>2204 Materiales de Uso o Consumo</t>
  </si>
  <si>
    <t>2204001 Materiales de Oficina</t>
  </si>
  <si>
    <t>2204003 Productos Químicos</t>
  </si>
  <si>
    <t>2204007 Materiales y Útiles de Aseo</t>
  </si>
  <si>
    <t>2204013 Equipos Menores</t>
  </si>
  <si>
    <t>2204999 Otros</t>
  </si>
  <si>
    <t>2205 Servicios Básicos</t>
  </si>
  <si>
    <t>2205001 Electricidad</t>
  </si>
  <si>
    <t>2205002 Agua</t>
  </si>
  <si>
    <t>2205003 Gas</t>
  </si>
  <si>
    <t>2205004 Correo</t>
  </si>
  <si>
    <t>2205005 Telefonía Fija</t>
  </si>
  <si>
    <t>2205006 Telefonía Celular</t>
  </si>
  <si>
    <t>2205007 Acceso a Internet</t>
  </si>
  <si>
    <t>2206 Mantenimiento y Reparaciones</t>
  </si>
  <si>
    <t>2206999 Otros</t>
  </si>
  <si>
    <t>2207 Publicidad y Difusión</t>
  </si>
  <si>
    <t>2207001 Servicios de Publicidad</t>
  </si>
  <si>
    <t>2207002 Servicios de Impresión</t>
  </si>
  <si>
    <t>2208 Servicios Generales</t>
  </si>
  <si>
    <t>2208001 Servicios de Aseo</t>
  </si>
  <si>
    <t>2208999 Otros</t>
  </si>
  <si>
    <t>2209 Arriendos</t>
  </si>
  <si>
    <t>2209002 Arriendo de Edificios</t>
  </si>
  <si>
    <t>2210002 Primas y Gastos de Seguros</t>
  </si>
  <si>
    <t>2211001 Estudios e Investigaciones</t>
  </si>
  <si>
    <t>2211002 Cursos de Capacitación</t>
  </si>
  <si>
    <t>2211003 Servicios Informáticos</t>
  </si>
  <si>
    <t>2211999 Otros</t>
  </si>
  <si>
    <t>2212002 Gastos Menores</t>
  </si>
  <si>
    <t>2212999 Otros</t>
  </si>
  <si>
    <t>24 TRANSFERENCIAS CORRIENTES</t>
  </si>
  <si>
    <t>2403 A Otras Entidades Públicas</t>
  </si>
  <si>
    <t>2906 Equipos Informáticos</t>
  </si>
  <si>
    <t>2907 Programas Informáticos</t>
  </si>
  <si>
    <t>34 SERVICIO DE LA DEUDA</t>
  </si>
  <si>
    <t>3402 Amortización Deuda Externa</t>
  </si>
  <si>
    <t>3402002 Empréstitos</t>
  </si>
  <si>
    <t>3404 Intereses Deuda Externa</t>
  </si>
  <si>
    <t>3404002 Empréstitos</t>
  </si>
  <si>
    <t>3407 Deuda Flotante</t>
  </si>
  <si>
    <t>Total</t>
  </si>
  <si>
    <t>Saldo por Comprometer</t>
  </si>
  <si>
    <t>Código Concepto</t>
  </si>
  <si>
    <t>Código Insumo</t>
  </si>
  <si>
    <t>Catálogo 01</t>
  </si>
  <si>
    <t>Monto Devengo</t>
  </si>
  <si>
    <t>2403026</t>
  </si>
  <si>
    <t>42426003</t>
  </si>
  <si>
    <t>Capac En Alianzas Estratégicas; Capac Contingente;</t>
  </si>
  <si>
    <t>2403033</t>
  </si>
  <si>
    <t>42433001</t>
  </si>
  <si>
    <t>42433002</t>
  </si>
  <si>
    <t>42433003</t>
  </si>
  <si>
    <t>2403602</t>
  </si>
  <si>
    <t>42402001</t>
  </si>
  <si>
    <t>02</t>
  </si>
  <si>
    <t>2403403</t>
  </si>
  <si>
    <t>42403002</t>
  </si>
  <si>
    <t>2403406</t>
  </si>
  <si>
    <t>42406002</t>
  </si>
  <si>
    <t>42406003</t>
  </si>
  <si>
    <t>Sin Insumo</t>
  </si>
  <si>
    <t>3303110</t>
  </si>
  <si>
    <t>1</t>
  </si>
  <si>
    <t>3204002</t>
  </si>
  <si>
    <t>3303111</t>
  </si>
  <si>
    <t>3407</t>
  </si>
  <si>
    <t>Descripción Concepto</t>
  </si>
  <si>
    <t>Programa Academia Capacitación Municipal y Regiona</t>
  </si>
  <si>
    <t>42426002</t>
  </si>
  <si>
    <t>Sistema de Capacitación por Competencias</t>
  </si>
  <si>
    <t>42426001</t>
  </si>
  <si>
    <t>42433004</t>
  </si>
  <si>
    <t>42433005</t>
  </si>
  <si>
    <t>42402004</t>
  </si>
  <si>
    <t>3303602001</t>
  </si>
  <si>
    <t>Municipalidades - Sistema Información Financiera M</t>
  </si>
  <si>
    <t>3303602002</t>
  </si>
  <si>
    <t>Municipalidades - Unidad de Gobierno Electrónico L</t>
  </si>
  <si>
    <t>Monto Requerimiento</t>
  </si>
  <si>
    <t>Municipalidades (Fondo de Incentivo al Mejoramient</t>
  </si>
  <si>
    <t>Municipalidades (Progr. Revital de Barrios e Infra</t>
  </si>
  <si>
    <t>42406004</t>
  </si>
  <si>
    <t>42406005</t>
  </si>
  <si>
    <t>Implementación Ley N 21.020 - Transferencia Munici</t>
  </si>
  <si>
    <t>42406001</t>
  </si>
  <si>
    <t>Textiles y Acabados Textiles</t>
  </si>
  <si>
    <t>2101001003 Asignación Profesional</t>
  </si>
  <si>
    <t>2101001001 Sueldos Bases</t>
  </si>
  <si>
    <t>2101001 Sueldos y Sobresueldos</t>
  </si>
  <si>
    <t>2101 Personal de Planta</t>
  </si>
  <si>
    <t>21 GASTOS EN PERSONAL</t>
  </si>
  <si>
    <t>2101005002 Bono de Escolaridad</t>
  </si>
  <si>
    <t>2102005002 Bono de Escolaridad</t>
  </si>
  <si>
    <t>2402102</t>
  </si>
  <si>
    <t>2402108</t>
  </si>
  <si>
    <t>2402111</t>
  </si>
  <si>
    <t>3303001</t>
  </si>
  <si>
    <t>Monto Compromiso</t>
  </si>
  <si>
    <t>42402002</t>
  </si>
  <si>
    <t>Fortalecimiento de la gestión financiera y presupu</t>
  </si>
  <si>
    <t>Fortalecimiento de la gestión financiera y presupuestaria</t>
  </si>
  <si>
    <t>Fortalecimiento de las Asociaciones Municipales</t>
  </si>
  <si>
    <t>2208002 Servicios de Vigilancia</t>
  </si>
  <si>
    <t>2209999 Otros</t>
  </si>
  <si>
    <t>2407 A Organismos Internacionales</t>
  </si>
  <si>
    <t>42403001</t>
  </si>
  <si>
    <t>42406006</t>
  </si>
  <si>
    <t>42402005</t>
  </si>
  <si>
    <t>42402003</t>
  </si>
  <si>
    <t>A Banco Mundial</t>
  </si>
  <si>
    <t>2203 Combustibles y Lubricantes</t>
  </si>
  <si>
    <t>2203001 Para Vehículos</t>
  </si>
  <si>
    <t>2210004 Gastos Bancarios</t>
  </si>
  <si>
    <t>Al Serviu VIII</t>
  </si>
  <si>
    <t>2403034</t>
  </si>
  <si>
    <t>Programa Inversión Regional Región de Ñuble</t>
  </si>
  <si>
    <t>Programa Inversión Regional Región de Coquimbo</t>
  </si>
  <si>
    <t>Programa Inversión Regional Región de Atacama</t>
  </si>
  <si>
    <t>Programa Inversión Regional Región de Antofagasta</t>
  </si>
  <si>
    <t>Programa Inversión Regional Región de Valparaíso</t>
  </si>
  <si>
    <t>Programa Inversión Regional Región del Maule</t>
  </si>
  <si>
    <t>Programa Inversión Regional Región de Magallanes y de la Antártica Chilena</t>
  </si>
  <si>
    <t>Programa Inversión Regional Región Metropolitana de Santiago</t>
  </si>
  <si>
    <t>Programa Inversión Regional Región de Los Ríos</t>
  </si>
  <si>
    <t>Programa Inversión Regional Región de Arica y Parinacota</t>
  </si>
  <si>
    <t>Programa Inversión Regional Región de Tarapaca</t>
  </si>
  <si>
    <t>Programa Inversión Regional Región del Bío Bío</t>
  </si>
  <si>
    <t>Programa Inversión Regional Región de Araucanía</t>
  </si>
  <si>
    <t>Programa Inversión Regional Región de Los Lagos</t>
  </si>
  <si>
    <t xml:space="preserve">Programa de Apoyo al Mejoramiento de la Gestión y </t>
  </si>
  <si>
    <t xml:space="preserve">Apoyo a la Acreditación de Calidad de Servicios Municipales </t>
  </si>
  <si>
    <t>24.03.034</t>
  </si>
  <si>
    <t>.034</t>
  </si>
  <si>
    <t>2403409 Oficina Revitalización de Barrios e Infraestructur</t>
  </si>
  <si>
    <t>Municipalidades Sistema Información Municipal (SIM)</t>
  </si>
  <si>
    <t>3303602003</t>
  </si>
  <si>
    <t xml:space="preserve">Descripción Insumo </t>
  </si>
  <si>
    <t>Subsecretaría de Desarrollo Regional y Administrat</t>
  </si>
  <si>
    <t>Municipalidades Sistema Información Municipal (SIM</t>
  </si>
  <si>
    <t>2401 Al Sector Privado</t>
  </si>
  <si>
    <t>A la Subsecretaría de Bienes Nacionales</t>
  </si>
  <si>
    <t>Al Servicio Nacional del Patrimonio Cultural</t>
  </si>
  <si>
    <t xml:space="preserve">Presupuesto vigente </t>
  </si>
  <si>
    <t>INGRESOS AL FISCO</t>
  </si>
  <si>
    <t>Otros Ingresos al Fisco</t>
  </si>
  <si>
    <t>Otros Íntegros al Fisco</t>
  </si>
  <si>
    <t>INTEGROS AL FISCO</t>
  </si>
  <si>
    <t>ProgramaPresupuestario - 03 P03-Programas de Desarrollo Local</t>
  </si>
  <si>
    <t>3303021 Provisión Puesta en Valor del Patrimonio</t>
  </si>
  <si>
    <t>3303025 Provisión de Apoyo a la Gestión Subnacional</t>
  </si>
  <si>
    <t>3303017 Provisión Programa Infraestructura Rural</t>
  </si>
  <si>
    <t>2101001002 Asignación de Antigüedad</t>
  </si>
  <si>
    <t>2101001007 Asignaciones del DL N ° 3.551, de 1981</t>
  </si>
  <si>
    <t>2101001012 Gastos de Representación</t>
  </si>
  <si>
    <t>2101001013 Asignación de Dirección Superior</t>
  </si>
  <si>
    <t>2101001014 Asignaciones Compensatorias</t>
  </si>
  <si>
    <t>2101001015 Asignaciones Sustitutivas</t>
  </si>
  <si>
    <t>2101001022 Componente Base Asignación de Desempeño</t>
  </si>
  <si>
    <t>2101001039 Asignación de Responsabilidad Superior</t>
  </si>
  <si>
    <t>2101002001 A Servicios de Bienestar</t>
  </si>
  <si>
    <t>2101002002 Otras Cotizaciones Previsionales</t>
  </si>
  <si>
    <t>2101003 Asignaciones por Desempeño</t>
  </si>
  <si>
    <t>2101003001 Desempeño Institucional</t>
  </si>
  <si>
    <t>2101004004 Asignación por Desempeño de Funciones Críticas</t>
  </si>
  <si>
    <t>2101004005 Trabajos  Extraordinarios</t>
  </si>
  <si>
    <t>2101004007 Comisiones de Servicios en el Exterior</t>
  </si>
  <si>
    <t>2102001002 Asignación de Antigüedad</t>
  </si>
  <si>
    <t>2102001006 Asignaciones del DL N ° 2.411, de 1978</t>
  </si>
  <si>
    <t>2102001007 Asignaciones del DL N ° 3.551, de 1981</t>
  </si>
  <si>
    <t>2102001013 Asignaciones Compensatorias</t>
  </si>
  <si>
    <t>2102001014 Asignaciones Sustitutivas</t>
  </si>
  <si>
    <t>2102001021 Componente Base Asignación de Desempeño</t>
  </si>
  <si>
    <t>2102001037 Asignación Zonas Extremas</t>
  </si>
  <si>
    <t>2102001038 Asignación de Responsabilidad Superior</t>
  </si>
  <si>
    <t>2102002001 A Servicios de Bienestar</t>
  </si>
  <si>
    <t>2102002002 Otras Cotizaciones Previsionales</t>
  </si>
  <si>
    <t>2102003 Asignaciones por Desempeño</t>
  </si>
  <si>
    <t>2102003001 Desempeño Institucional</t>
  </si>
  <si>
    <t>2102004004 Asignación por Desempeño de Funciones Críticas</t>
  </si>
  <si>
    <t>2102004005 Trabajos Extraordinarios</t>
  </si>
  <si>
    <t>2103001 Honorarios a Suma Alzada - Personas Naturales</t>
  </si>
  <si>
    <t>2103001001 Honorarios a Suma Alzada-Honorarios</t>
  </si>
  <si>
    <t>2103001002 Honorarios a Suma Alzada - Viáticos</t>
  </si>
  <si>
    <t>2202002 Vestuario, Accesorios y Prendas Diversas</t>
  </si>
  <si>
    <t>2204005 Materiales y Útiles Quirúrgicos</t>
  </si>
  <si>
    <t>2204008 Menaje para Oficina, Casino y Otros</t>
  </si>
  <si>
    <t>2204009 Insumos, Repuestos y Accesorios Computacionales</t>
  </si>
  <si>
    <t>2204010 Materiales para Mantenimiento y Reparaciones de In</t>
  </si>
  <si>
    <t>2204011 Repuestos y Accesorios para Mantenimiento y Repara</t>
  </si>
  <si>
    <t>2204012 Otros Materiales, Repuestos y Útiles Diversos para</t>
  </si>
  <si>
    <t>2205008 Enlaces de Telecomunicaciones</t>
  </si>
  <si>
    <t>2206001 Mantenimiento y Reparación de Edificaciones</t>
  </si>
  <si>
    <t>2206002 Mantenimiento y Reparación de Vehículos</t>
  </si>
  <si>
    <t>2206003 Mantenimiento y Reparación de Mobiliarios y Otros</t>
  </si>
  <si>
    <t>2206004 Mantenimiento y Reparación de Máquinas y Equipos d</t>
  </si>
  <si>
    <t>2206007 Mantenimiento y Reparación de Equipos Informáticos</t>
  </si>
  <si>
    <t>2208007 Pasajes, Fletes y Bodegajes</t>
  </si>
  <si>
    <t>2208008 Salas Cunas y/o Jardines Infantiles</t>
  </si>
  <si>
    <t>2208010 Servicios de Suscripción y Similares</t>
  </si>
  <si>
    <t>2209005 Arriendo de Máquinas y Equipos</t>
  </si>
  <si>
    <t>2209006 Arriendo de  Equipos Informáticos</t>
  </si>
  <si>
    <t>2210 Servicios Financieros y de Seguros</t>
  </si>
  <si>
    <t>2211 Servicios Técnicos y Profesionales</t>
  </si>
  <si>
    <t>2212 Otros Gastos en Bienes y Servicios de Consumo</t>
  </si>
  <si>
    <t>2212003 Gastos de Representación, Protocolo y Ceremonial</t>
  </si>
  <si>
    <t>23 PRESTACIONES DE SEGURIDAD SOCIAL</t>
  </si>
  <si>
    <t>2303 Prestaciones Sociales del Empleador</t>
  </si>
  <si>
    <t>2303003 Fondo Retiro Funcionarios Públicos Ley N° 19.882</t>
  </si>
  <si>
    <t>2403024 Capacitación en Desarrollo Regional y Comunal</t>
  </si>
  <si>
    <t>2407002 A Comisión Económica Para América Latina y el Cari</t>
  </si>
  <si>
    <t>2407007 Organización de las Naciones Unidas para la Alimen</t>
  </si>
  <si>
    <t>29 ADQUISICION DE ACTIVOS NO FINANCIEROS</t>
  </si>
  <si>
    <t>2906001 Equipos Computacionales y Periféricos</t>
  </si>
  <si>
    <t>2907001 Programas Computacionales</t>
  </si>
  <si>
    <t>3404002001 Intereses Deuda Pública</t>
  </si>
  <si>
    <t>2101004006 Comisiones de Servicios en el Pais</t>
  </si>
  <si>
    <t>2102004006 Comisiones de Servicios en el Pais</t>
  </si>
  <si>
    <t>Sueldos base</t>
  </si>
  <si>
    <t>.431</t>
  </si>
  <si>
    <t>Otros Gastos Academia</t>
  </si>
  <si>
    <t>42402006</t>
  </si>
  <si>
    <t>SIM - FIMU Corriente</t>
  </si>
  <si>
    <t>Mejora de la gestión en la provisión de servicios</t>
  </si>
  <si>
    <t>Fortalecimiento Institucional</t>
  </si>
  <si>
    <t>Fortalecimiento de la Participación Ciudadana y la</t>
  </si>
  <si>
    <t>Programa Gasto de Funcionamiento Región del Maule</t>
  </si>
  <si>
    <t>Programa Gastos de Funcionamiento Región de Ñuble</t>
  </si>
  <si>
    <t>Fondo de Desarrollo Local</t>
  </si>
  <si>
    <t>25 INTEGROS AL FISCO</t>
  </si>
  <si>
    <t>2599 Otros Íntegros al Fisco</t>
  </si>
  <si>
    <t>3303110 Municipalidades (Fondo de Incentivo al Mejoramient</t>
  </si>
  <si>
    <t>3303111 Municipalidades (Progr. Revital de Barrios e Infra</t>
  </si>
  <si>
    <t xml:space="preserve">Otros Integros Al Fisco </t>
  </si>
  <si>
    <t xml:space="preserve">INTEGROS AL FISCO </t>
  </si>
  <si>
    <t>Programa Gastos de Funcionamiento Región de Antofa</t>
  </si>
  <si>
    <t>Programa Gasto de Funcionamiento Región de Aysén d</t>
  </si>
  <si>
    <t>Universidad del Desarrollo</t>
  </si>
  <si>
    <t xml:space="preserve">Provisión Ley N° 20.378 - Fondo de Apoyo Regional </t>
  </si>
  <si>
    <t>Provisión Programas de Apoyo al Empleo</t>
  </si>
  <si>
    <t>Mantenimiento y Reparación de Máquinas y Equipos d</t>
  </si>
  <si>
    <t xml:space="preserve">CONSOLIDADO POR SUBTÍTULO </t>
  </si>
  <si>
    <t>Fundación Chile Descentralizado Desarrollado</t>
  </si>
  <si>
    <t>Aporte Reembolsable Especial a Municipalidades</t>
  </si>
  <si>
    <t xml:space="preserve">ADQUISICIÓN DE ACTIVOS FINANCIEROS </t>
  </si>
  <si>
    <t>Fondo de Emergencia Transitorio</t>
  </si>
  <si>
    <t>3303602004</t>
  </si>
  <si>
    <t>Plataforma Unidad de RRHH</t>
  </si>
  <si>
    <t>3303602005</t>
  </si>
  <si>
    <t>Servicios SINIM</t>
  </si>
  <si>
    <t>Tradicional (PMU)</t>
  </si>
  <si>
    <t>Emergencia (PMU)</t>
  </si>
  <si>
    <t>Cuenca del Carbón (PMU)</t>
  </si>
  <si>
    <t>Asistencia Técnica (PMB)</t>
  </si>
  <si>
    <t>Terrenos (PMB)</t>
  </si>
  <si>
    <t>Otras Transferencias (PMB)</t>
  </si>
  <si>
    <t>Estudios y diseños (PMB)</t>
  </si>
  <si>
    <t>IRAL Inversión Regional de Asignación Local (PMB)</t>
  </si>
  <si>
    <t>Obras (PMB)</t>
  </si>
  <si>
    <t>Fondo Recuperación de  (FRC)</t>
  </si>
  <si>
    <t>33.03.120.100</t>
  </si>
  <si>
    <t>Servicio Nacional del Patrimonio Cultural</t>
  </si>
  <si>
    <t>.020</t>
  </si>
  <si>
    <t xml:space="preserve">Aporte Reembolsable Compensación Ingresos Propios </t>
  </si>
  <si>
    <t xml:space="preserve">Al Serviu </t>
  </si>
  <si>
    <t>PROGRAMA 05 - TRANSFERENCIA GORES</t>
  </si>
  <si>
    <t>Fondo de Equidad Interregional</t>
  </si>
  <si>
    <t>.433</t>
  </si>
  <si>
    <t>3303432</t>
  </si>
  <si>
    <t>Fondo de Apoyo Contingencia Regional</t>
  </si>
  <si>
    <t>.432</t>
  </si>
  <si>
    <t>42426008</t>
  </si>
  <si>
    <t>Tecnologías de Información y Comunicaciones TIC</t>
  </si>
  <si>
    <t>Mantenimiento y Reparación de otras Máquinarias y Equipos</t>
  </si>
  <si>
    <t xml:space="preserve">PROGRAMA 01 - SUBSECRETARIA </t>
  </si>
  <si>
    <t>N° Decreto</t>
  </si>
  <si>
    <t>24.03.406.001</t>
  </si>
  <si>
    <t>24.03.406.002</t>
  </si>
  <si>
    <t>24.03.406.003</t>
  </si>
  <si>
    <t>24.03.406.004</t>
  </si>
  <si>
    <t>24.03.406.005</t>
  </si>
  <si>
    <t>24.03.406.006</t>
  </si>
  <si>
    <t>25.99</t>
  </si>
  <si>
    <t>33.03.120.005.01</t>
  </si>
  <si>
    <t>33.03.120.005.02</t>
  </si>
  <si>
    <t>33.03.120.005.05</t>
  </si>
  <si>
    <t>33.03.120.006.01</t>
  </si>
  <si>
    <t>33.03.120.006.03</t>
  </si>
  <si>
    <t>33.03.120.006.04</t>
  </si>
  <si>
    <t>33.03.120.006.05</t>
  </si>
  <si>
    <t>33.03.120.006.06</t>
  </si>
  <si>
    <t>33.03.120.006.07</t>
  </si>
  <si>
    <t>Programa Gastos de Funcionamiento Región de Tarapacá</t>
  </si>
  <si>
    <t>Programa Gastos de Funcionamiento Región de Atacama</t>
  </si>
  <si>
    <t>Programa Gastos de Funcionamiento Región de Coquimbo</t>
  </si>
  <si>
    <t>Programa Gasto de Funcionamiento Región de Valparaíso</t>
  </si>
  <si>
    <t>Programa Gasto de Funcionamiento Región del Libertador B. O'Higgins</t>
  </si>
  <si>
    <t>Programa Gastos de Funcionamiento Región de La Araucanía</t>
  </si>
  <si>
    <t>Programa Gasto de Funcionamiento Región de Los Lagos</t>
  </si>
  <si>
    <t>Programa Gasto de Funcionamiento Región de Magallanes</t>
  </si>
  <si>
    <t>Programa Gasto de Funcionamiento Región Metropolitana</t>
  </si>
  <si>
    <t>Programa Gastos de Funcionamiento Región de Los Ríos</t>
  </si>
  <si>
    <t>Programa Gastos de Funcionamiento Región de Arica Parinacota</t>
  </si>
  <si>
    <t>24.02.007</t>
  </si>
  <si>
    <t>24.02.914</t>
  </si>
  <si>
    <t>Programa Inversión Regional Región del Libertador General B. O' Higgins</t>
  </si>
  <si>
    <t>Programa Inversión Regional Región de Aysén del G. Carlos Ibañez del Campo</t>
  </si>
  <si>
    <t>24.01.103</t>
  </si>
  <si>
    <t xml:space="preserve">Universidad Adolfo Ibañez - Índice de bienestar </t>
  </si>
  <si>
    <t>Universidad Católica-Centro Latinoamericano</t>
  </si>
  <si>
    <t>24.07.006</t>
  </si>
  <si>
    <t>A Comisión Económica Para América Latina y el Caribe</t>
  </si>
  <si>
    <t>002</t>
  </si>
  <si>
    <t>003</t>
  </si>
  <si>
    <t>24.07.007</t>
  </si>
  <si>
    <t>A Organización de las Naciones Unidas para la Alimentación</t>
  </si>
  <si>
    <t>001</t>
  </si>
  <si>
    <t>.107</t>
  </si>
  <si>
    <t>.914</t>
  </si>
  <si>
    <t>.916</t>
  </si>
  <si>
    <t>3303010 Programa de Mejoramiento Urbano y Equipamiento Com</t>
  </si>
  <si>
    <t>3303020 Programa de Mejoramiento de Barrios FET-Covid-19</t>
  </si>
  <si>
    <t>Sistema Información Financiera Municipal</t>
  </si>
  <si>
    <t>Unidad de Gobierno Electrónico Local</t>
  </si>
  <si>
    <t>Sistema Información Municipal (SIM )</t>
  </si>
  <si>
    <t>PMU</t>
  </si>
  <si>
    <t>PMB</t>
  </si>
  <si>
    <t xml:space="preserve">Programa Gastos de Funcionamiento Región de Aysén del General Carlos Ibañez del Campo </t>
  </si>
  <si>
    <t>Programa Gastos de Funcionamiento Región del Bio Bio</t>
  </si>
  <si>
    <t>.105</t>
  </si>
  <si>
    <t>Programa Financiamiento Gobiernos Regionales</t>
  </si>
  <si>
    <t>Presupuesto Vigente</t>
  </si>
  <si>
    <t>Ejecución</t>
  </si>
  <si>
    <t>subtítulo</t>
  </si>
  <si>
    <t xml:space="preserve">06    </t>
  </si>
  <si>
    <t xml:space="preserve">07    </t>
  </si>
  <si>
    <t>24.02.116</t>
  </si>
  <si>
    <t>[ 4 ]</t>
  </si>
  <si>
    <t>[ 5 ]</t>
  </si>
  <si>
    <t>[ 4/2]</t>
  </si>
  <si>
    <t>[ 5/2]</t>
  </si>
  <si>
    <t xml:space="preserve"> Prestaciones Sociales del Empleador</t>
  </si>
  <si>
    <t>32.04.003</t>
  </si>
  <si>
    <t>Trabajos extraordinarios</t>
  </si>
  <si>
    <t>Valores</t>
  </si>
  <si>
    <t>Saldo por ejecutar M$</t>
  </si>
  <si>
    <t>[ 5-3]</t>
  </si>
  <si>
    <t>Saldo disponible M$</t>
  </si>
  <si>
    <t xml:space="preserve">% Saldo disponible </t>
  </si>
  <si>
    <t>% Presupuesto comprometido M$</t>
  </si>
  <si>
    <t>Presupuesto comprometido M$</t>
  </si>
  <si>
    <t>22.02.001</t>
  </si>
  <si>
    <t>Programa Inversión Regional Región I  Tarapacá</t>
  </si>
  <si>
    <t>Programa Inversión Regional Región II  Antofagasta</t>
  </si>
  <si>
    <t>Programa Inversión Regional Región III Atacama</t>
  </si>
  <si>
    <t>Programa Inversión Regional Región IV Coquimbo</t>
  </si>
  <si>
    <t>Programa Inversión Regional Región V Valparaíso</t>
  </si>
  <si>
    <t xml:space="preserve">Programa Inversión Regional Región VI del Libertador </t>
  </si>
  <si>
    <t>Programa Inversión Regional Región VII  Maule</t>
  </si>
  <si>
    <t>Programa Inversión Regional Región VIII  Bío Bío</t>
  </si>
  <si>
    <t>Programa Inversión Regional Región IX La Araucanía</t>
  </si>
  <si>
    <t>Programa Inversión Regional Región X  Los Lagos</t>
  </si>
  <si>
    <t>Programa Inversión Regional Región XI  Aysén</t>
  </si>
  <si>
    <t xml:space="preserve">Programa Inversión Regional Región XII Magallanes </t>
  </si>
  <si>
    <t>Programa Inversión Regional Región XIV Los Ríos</t>
  </si>
  <si>
    <t>Programa Inversión Regional Región XV  Arica y Parinacota</t>
  </si>
  <si>
    <t>Programa Inversión Regional Región XVI  Ñuble</t>
  </si>
  <si>
    <t>Subsecretaría de Desarrollo Regional y Administrativo</t>
  </si>
  <si>
    <t xml:space="preserve"> PROGRAMAS DE DESARROLLO LOCAL</t>
  </si>
  <si>
    <t xml:space="preserve"> Gastos de Representación, Protocolo y Ceremonial</t>
  </si>
  <si>
    <t>32.04.004</t>
  </si>
  <si>
    <t>Subtitulo</t>
  </si>
  <si>
    <t>nombre</t>
  </si>
  <si>
    <t>ACUMULADO A JULIO</t>
  </si>
  <si>
    <t>ACUMULADO AGOSTO</t>
  </si>
  <si>
    <t>ACUMULADO A AGOSTO</t>
  </si>
  <si>
    <t>Amortización de la Deuda Extterna</t>
  </si>
  <si>
    <t>Fortalecimiento y Apoyo Técnico a los Gobiernos Re</t>
  </si>
  <si>
    <t xml:space="preserve">Fortalecimiento de Capacidades de Intervención en </t>
  </si>
  <si>
    <t>22.06.004</t>
  </si>
  <si>
    <t xml:space="preserve">24.03.105 </t>
  </si>
  <si>
    <t>24.03.015</t>
  </si>
  <si>
    <t>2204004 Productos Farmacéuticos</t>
  </si>
  <si>
    <t>22.04.004</t>
  </si>
  <si>
    <t>Productos Farmacéuticos</t>
  </si>
  <si>
    <t>21.03.007</t>
  </si>
  <si>
    <t>Ejecución.</t>
  </si>
  <si>
    <t>Saldo por ejecutar.</t>
  </si>
  <si>
    <t>Saldo disponible.</t>
  </si>
  <si>
    <t>Programa Gastos de Funcionamiento Región del Biobío</t>
  </si>
  <si>
    <t>Emergencia S.P.D.</t>
  </si>
  <si>
    <t>2407008 A Facultad Latinoamericana de Ciencias Sociales</t>
  </si>
  <si>
    <t>A Facultad Latinoamericana de Ciencias Sociales</t>
  </si>
  <si>
    <t xml:space="preserve">24.07.008 </t>
  </si>
  <si>
    <t>24.02.102</t>
  </si>
  <si>
    <t>ACUMULADO A NOVIEMBRE</t>
  </si>
  <si>
    <t>.018</t>
  </si>
  <si>
    <t>33.02.020</t>
  </si>
  <si>
    <t>33.02.018</t>
  </si>
  <si>
    <t>2907002 Sistemas de Información</t>
  </si>
  <si>
    <t>Universidad de Chile - Fortalecimiento Organizacio</t>
  </si>
  <si>
    <t>24.03.410</t>
  </si>
  <si>
    <t>24.01.104</t>
  </si>
  <si>
    <t>24.01.105</t>
  </si>
  <si>
    <t>2101001999 Otras Asignaciones</t>
  </si>
  <si>
    <t>2102001999 Otras Asignaciones</t>
  </si>
  <si>
    <t>2903 Vehículos</t>
  </si>
  <si>
    <t>Otras Asignaciones</t>
  </si>
  <si>
    <t>Desempeño Individual</t>
  </si>
  <si>
    <t>Otras Indemnizaciones</t>
  </si>
  <si>
    <t>23.03.004</t>
  </si>
  <si>
    <t>.410</t>
  </si>
  <si>
    <t>Universidad de Chile - Fortalecimiento Organización</t>
  </si>
  <si>
    <t>Vehículos</t>
  </si>
  <si>
    <t>29.03</t>
  </si>
  <si>
    <t>.027</t>
  </si>
  <si>
    <t>Vehículo</t>
  </si>
  <si>
    <t>MOVIMIENTO AÑO 2023</t>
  </si>
  <si>
    <t>3303005001</t>
  </si>
  <si>
    <t>P.M.U. - Tradicional</t>
  </si>
  <si>
    <t>3303005002</t>
  </si>
  <si>
    <t>P.M.U. - Emergencia</t>
  </si>
  <si>
    <t>3303005005</t>
  </si>
  <si>
    <t>P.M.U. - Cuenca del Carbón</t>
  </si>
  <si>
    <t>3303005008</t>
  </si>
  <si>
    <t>P.M.U. - Emergencia - SPD</t>
  </si>
  <si>
    <t>3303006001</t>
  </si>
  <si>
    <t>P.M.B. - Asistencia Ténica</t>
  </si>
  <si>
    <t>3303006003</t>
  </si>
  <si>
    <t>P.M.B. - Terrenos</t>
  </si>
  <si>
    <t>3303006004</t>
  </si>
  <si>
    <t>P.M.B. - Otras Transferencias</t>
  </si>
  <si>
    <t>3303006005</t>
  </si>
  <si>
    <t>P.M.B. - Estudios y Diseños</t>
  </si>
  <si>
    <t>3303006006</t>
  </si>
  <si>
    <t>P.M.B. - IRAL- Inversión Regional de Asignación Lo</t>
  </si>
  <si>
    <t>3303006007</t>
  </si>
  <si>
    <t>P.M.B. - OBRA</t>
  </si>
  <si>
    <t>3303100</t>
  </si>
  <si>
    <t>Municipalidades (Fondo Recuperación de Ciudades)</t>
  </si>
  <si>
    <t>33.03.005.001</t>
  </si>
  <si>
    <t>33.03.005.002</t>
  </si>
  <si>
    <t>33.03.005.003</t>
  </si>
  <si>
    <t>33.03.005.008</t>
  </si>
  <si>
    <t>33.03.006.001</t>
  </si>
  <si>
    <t>33.03.006.002</t>
  </si>
  <si>
    <t>33.03.006.003</t>
  </si>
  <si>
    <t>33.03.006.004</t>
  </si>
  <si>
    <t>33.03.006.005</t>
  </si>
  <si>
    <t>33.03.100</t>
  </si>
  <si>
    <t>Programa 03 33-03-005 Decretos</t>
  </si>
  <si>
    <t>Ejecución Linea de Financiamiento</t>
  </si>
  <si>
    <t>Programa 03 33-03-006 Decretos</t>
  </si>
  <si>
    <t>Municipalidades (PMU)</t>
  </si>
  <si>
    <t>Municipalidades (PMB)</t>
  </si>
  <si>
    <t>.100</t>
  </si>
  <si>
    <t>Servicio Nacional de Prevención y Respuesta Ante D</t>
  </si>
  <si>
    <t xml:space="preserve">2101001998 Aplicación inciso 5to del Artículo 1 de la Ley N° </t>
  </si>
  <si>
    <t xml:space="preserve">2102001998 Aplicación inciso 5to del Artículo 1 de la Ley N° </t>
  </si>
  <si>
    <t>2102004007 Comisiones de Servicios en el Exterior</t>
  </si>
  <si>
    <t>2208003 Servicios de Mantención de Jardines</t>
  </si>
  <si>
    <t>26 OTROS GASTOS CORRIENTES</t>
  </si>
  <si>
    <t>2602 Compensaciones por Daños a Terceros y/o a la Propi</t>
  </si>
  <si>
    <t>2904 Mobiliario y Otros</t>
  </si>
  <si>
    <t xml:space="preserve">Aplicación inciso 5to del Artículo 1 de la Ley N° </t>
  </si>
  <si>
    <t>Mobiliario y Otros</t>
  </si>
  <si>
    <t>23.</t>
  </si>
  <si>
    <t>24.02.500</t>
  </si>
  <si>
    <t>ACUMULADO A MARZO</t>
  </si>
  <si>
    <t>Sistemas de Información</t>
  </si>
  <si>
    <t>29.07.002</t>
  </si>
  <si>
    <t>29.04</t>
  </si>
  <si>
    <t>3302025</t>
  </si>
  <si>
    <t>Gobiernos Regionales - Programas de Inversión</t>
  </si>
  <si>
    <t>2401010 Fundación para la Promoción y Desarrollo de la Muj</t>
  </si>
  <si>
    <t>ACUMULADO A MAYO</t>
  </si>
  <si>
    <t>Fundación para la Promoción y Desarrollo de la Muj</t>
  </si>
  <si>
    <t>24.01.010</t>
  </si>
  <si>
    <t xml:space="preserve">33  </t>
  </si>
  <si>
    <t>3303112</t>
  </si>
  <si>
    <t>Municipalidades (Programa Recuperación Espacios de</t>
  </si>
  <si>
    <t>33.03.112</t>
  </si>
  <si>
    <t>.112</t>
  </si>
  <si>
    <t>Prestaciones Sociales del Empleador</t>
  </si>
  <si>
    <t>2599001 Integros por Recuperación de Licencias Médicas</t>
  </si>
  <si>
    <t>ACUMULADO A JUNIO</t>
  </si>
  <si>
    <t>Integros por Recuperación de Licencias Médicas</t>
  </si>
  <si>
    <t xml:space="preserve">25.99.001 </t>
  </si>
  <si>
    <t>25.99.001</t>
  </si>
  <si>
    <t>2599201 Integros por Cobro de Pagos en Exceso</t>
  </si>
  <si>
    <t>2599202 Integros por Cobro de Pagos Duplicados</t>
  </si>
  <si>
    <t>2599999 Otros</t>
  </si>
  <si>
    <t>2599999</t>
  </si>
  <si>
    <t>Programa de Tenencia Responsable de Animales de Co</t>
  </si>
  <si>
    <t>25.99.999</t>
  </si>
  <si>
    <t>Integros por Cobro de Pagos en Exceso</t>
  </si>
  <si>
    <t>Integros por Cobro de Pagos Duplicados</t>
  </si>
  <si>
    <t>ACUMULADO A SEPTIEMBRE</t>
  </si>
  <si>
    <t>33.03.006</t>
  </si>
  <si>
    <t>33.03.005</t>
  </si>
  <si>
    <t xml:space="preserve">2403025 U. de Chile, Facultad de Gobierno - Actualización </t>
  </si>
  <si>
    <t xml:space="preserve">2403030 SUBPESCA - Consulta indígena área marina Rapa Nui </t>
  </si>
  <si>
    <t>2905 Máquinas y Equipos</t>
  </si>
  <si>
    <t>2905001 Máquinas y Equipos de Oficina</t>
  </si>
  <si>
    <t xml:space="preserve">U. de Chile, Facultad de Gobierno - Actualización </t>
  </si>
  <si>
    <t xml:space="preserve">SUBPESCA - Consulta indígena área marina Rapa Nui </t>
  </si>
  <si>
    <t>.030</t>
  </si>
  <si>
    <t>Máquinas y Equipos</t>
  </si>
  <si>
    <t>Máquinas y Equipos de Oficina</t>
  </si>
  <si>
    <t>29.05</t>
  </si>
  <si>
    <t>MOVIMIENTO AÑO 2024</t>
  </si>
  <si>
    <t>GASTO AÑO 2024</t>
  </si>
  <si>
    <t xml:space="preserve">Ley de Presupuestos </t>
  </si>
  <si>
    <t>33 TRANSFERENCIAS DE CAPITAL</t>
  </si>
  <si>
    <t>3302 Al Gobierno Central</t>
  </si>
  <si>
    <t>3302100 Recuperación Región del Maule</t>
  </si>
  <si>
    <t>TRANSFERENCIAS DE CAPITAL</t>
  </si>
  <si>
    <t>Recuperación Región del Maule</t>
  </si>
  <si>
    <t>.99</t>
  </si>
  <si>
    <t>Nivel Cruce</t>
  </si>
  <si>
    <t>2</t>
  </si>
  <si>
    <t>3</t>
  </si>
  <si>
    <t>4</t>
  </si>
  <si>
    <t>25.99.201</t>
  </si>
  <si>
    <t>25.99.202</t>
  </si>
  <si>
    <t>2599002</t>
  </si>
  <si>
    <t>Integros por Saldos No Utilizados de Transferencia</t>
  </si>
  <si>
    <t>25.99.002</t>
  </si>
  <si>
    <t>2403407</t>
  </si>
  <si>
    <t>Programa Servicios de Asistencia Técnica Especiali</t>
  </si>
  <si>
    <t>2024 ENERO</t>
  </si>
  <si>
    <t>Emergencia SPD (PMU)</t>
  </si>
  <si>
    <t>33.03.006.007</t>
  </si>
  <si>
    <t>.407</t>
  </si>
  <si>
    <t>24.03.407</t>
  </si>
  <si>
    <t>ENERO DE 2024</t>
  </si>
  <si>
    <t>Subt.</t>
  </si>
  <si>
    <t>CONSOLIDADO POR SUBTÍTULO PROGRAMA 01</t>
  </si>
  <si>
    <t>SUBSECRETARIA DE DESARROLLO REGIONAL Y ADMINISTRATIVO</t>
  </si>
  <si>
    <t>33.02.100</t>
  </si>
  <si>
    <t>04</t>
  </si>
  <si>
    <t>ACUMULADO A FEBRERO</t>
  </si>
  <si>
    <t>FEBRERO DE 2024</t>
  </si>
  <si>
    <t>ACUMULADO FEBRERO 2024</t>
  </si>
  <si>
    <t>2403027 Agencia para la Sustentabilidad y Cambio Climático</t>
  </si>
  <si>
    <t>2403043 UFRO - Red de expertos macro zona sur</t>
  </si>
  <si>
    <t>2407003 A Banco Interamericano de Desarrollo (BID)</t>
  </si>
  <si>
    <t>2407009 PNUD - Diálogos participativos regionales para ela</t>
  </si>
  <si>
    <t>m$ Requerimiento</t>
  </si>
  <si>
    <t>Agencia para la Sustentabilidad y Cambio Climático</t>
  </si>
  <si>
    <t>.043</t>
  </si>
  <si>
    <t>UFRO - Red de expertos macro zona sur</t>
  </si>
  <si>
    <t>24.03.043</t>
  </si>
  <si>
    <t>24.07.009</t>
  </si>
  <si>
    <t>Diálogos participativos regionales para ela</t>
  </si>
  <si>
    <t xml:space="preserve">MARZO </t>
  </si>
  <si>
    <t>M$ Monto Requerimiento</t>
  </si>
  <si>
    <t>24.03.602</t>
  </si>
  <si>
    <t>Municipalidades (Programa Revitalización de Barrios e Infraestructura Patrimonial Emblemática)</t>
  </si>
  <si>
    <t>Municipalidades (Programa Recuperación Espacios de Alto Valor Social)</t>
  </si>
  <si>
    <t>Servicios de Asistencia Técnica Especializada SATE</t>
  </si>
  <si>
    <t>M$ Monto Devengo</t>
  </si>
  <si>
    <t>M$ Monto Compromiso</t>
  </si>
  <si>
    <t>ACUMULADO A ABRIL</t>
  </si>
  <si>
    <t>M$ Compromiso</t>
  </si>
  <si>
    <t>M$ Devengado</t>
  </si>
  <si>
    <t>M$ Saldo por Comprometer</t>
  </si>
  <si>
    <t>M$ Requerimiento</t>
  </si>
  <si>
    <t>2906002 Equipos de Comunicaciones para Redes Informáticas</t>
  </si>
  <si>
    <t xml:space="preserve"> Equipos de Comunicaciones para Redes Informáticas</t>
  </si>
  <si>
    <t>M$  Monto Compromiso</t>
  </si>
  <si>
    <t>M$  Monto Devengo</t>
  </si>
  <si>
    <t>[ 4/2 ]</t>
  </si>
  <si>
    <t>[ 5/2 ]</t>
  </si>
  <si>
    <t>SIN INFORMACION SIGFE</t>
  </si>
  <si>
    <t>ACUMULADO A JULIO 2024</t>
  </si>
  <si>
    <t>Municipalidades Programa de Tenencia Responsable de Animales de Compañía</t>
  </si>
  <si>
    <t>Municipalidades (Programa de Mejoramiento Urbano y Equipamiento Comunal - PMU)</t>
  </si>
  <si>
    <t>Municipalidades (Programa Mejoramiento de Barrios - PMB)</t>
  </si>
  <si>
    <t xml:space="preserve">Municipalidades (Fondo Recuperación de Ciudades - FRC) </t>
  </si>
  <si>
    <t>Servicio Nacional de Prevención y Respuesta Ante Desastres</t>
  </si>
  <si>
    <t>2101003003 Desempeño Individual</t>
  </si>
  <si>
    <t>2102003003 Desempeño Individual</t>
  </si>
  <si>
    <t>2202001 Textiles y Acabados Textiles</t>
  </si>
  <si>
    <t xml:space="preserve">2206006 Mantenimiento y Reparación de Otras Maquinarias y </t>
  </si>
  <si>
    <t>2303004 Otras Indemnizaciones</t>
  </si>
  <si>
    <t>2401100 Universidad del Desarrollo</t>
  </si>
  <si>
    <t>2401101 Fundación Chile Descentralizado Desarrollado</t>
  </si>
  <si>
    <t>2401102 Universidad Adolfo Ibañez - Índice de bienestar te</t>
  </si>
  <si>
    <t>2401103 Universidad Católica-Centro Latinoamericano de Pol</t>
  </si>
  <si>
    <t>2401104 Fortalecimiento y Apoyo Técnico a los Gobiernos Re</t>
  </si>
  <si>
    <t xml:space="preserve">2401105 Fortalecimiento de Capacidades de Intervención en </t>
  </si>
  <si>
    <t xml:space="preserve">2403105 Fortalecimiento de Capacidades de Intervención en </t>
  </si>
  <si>
    <t>2403410 Universidad de Chile - Fortalecimiento Organizacio</t>
  </si>
  <si>
    <t>2403415 Oficina de Donación Española</t>
  </si>
  <si>
    <t>2407006 A Banco Mundial</t>
  </si>
  <si>
    <t>3406 Otros Gastos Financieros Deuda Externa</t>
  </si>
  <si>
    <t>35 SALDO FINAL DE CAJA</t>
  </si>
  <si>
    <t>M$Devengado</t>
  </si>
  <si>
    <t>2407010 PNUD: Plan Ercilla</t>
  </si>
  <si>
    <t>24.07.010</t>
  </si>
  <si>
    <t>PNUD: Plan Ercilla</t>
  </si>
  <si>
    <t>SEPTIEMBRE ACUMULADO</t>
  </si>
  <si>
    <t>ACUMULADO SEPTIEMBRE</t>
  </si>
  <si>
    <t>Octubre 2024</t>
  </si>
  <si>
    <t>Octubre  2024</t>
  </si>
  <si>
    <t>Aguinaldos y Bonos</t>
  </si>
  <si>
    <t>2101001004 Asignación de Zona</t>
  </si>
  <si>
    <t>Acumulado a Octubre</t>
  </si>
  <si>
    <t>Monto Requerimiento $M</t>
  </si>
  <si>
    <t>Monto Compromiso $M</t>
  </si>
  <si>
    <t>Monto Devengo $M</t>
  </si>
  <si>
    <t>Octubre</t>
  </si>
  <si>
    <t xml:space="preserve">Presupuesto Inicial </t>
  </si>
  <si>
    <t xml:space="preserve">Presupuesto Vigente </t>
  </si>
  <si>
    <t>Acemulado a Octubre</t>
  </si>
  <si>
    <t>2599002 Integros por Saldos No Utilizados de Transferencia</t>
  </si>
  <si>
    <t>noviembre</t>
  </si>
  <si>
    <t xml:space="preserve">M$ Ley de Presupuestos </t>
  </si>
  <si>
    <t>M$
Compromiso</t>
  </si>
  <si>
    <t>Noviembre</t>
  </si>
  <si>
    <t>acumulado a noviembre</t>
  </si>
  <si>
    <t>2103999 Otras</t>
  </si>
  <si>
    <t>Diciembre</t>
  </si>
  <si>
    <t>2204002 Textos y Otros Materiales de Enseñanza</t>
  </si>
  <si>
    <t>Acumulado a diciembre</t>
  </si>
  <si>
    <t>Otras</t>
  </si>
  <si>
    <t>21.03.999</t>
  </si>
  <si>
    <t>Servicios de Mantención de Jardines</t>
  </si>
  <si>
    <t xml:space="preserve"> Agencia para la Sustentabilidad y Cambio Climático</t>
  </si>
  <si>
    <t>Textos y Otros Materiales de Enseñanza</t>
  </si>
  <si>
    <t>2599201</t>
  </si>
  <si>
    <t xml:space="preserve">DICIEMBRE </t>
  </si>
  <si>
    <t>ACUMULADO A DICIEMBRE</t>
  </si>
  <si>
    <t>M$ Monto devengo</t>
  </si>
  <si>
    <t>acumulado a diciembre</t>
  </si>
  <si>
    <t>INGRESOS AL FISCO*</t>
  </si>
  <si>
    <t>Presupuesto Inicial 2025 M$</t>
  </si>
  <si>
    <t>Presupuesto  Vigente 2025 M$</t>
  </si>
  <si>
    <t>Ejecución al 31/01/2025 M$</t>
  </si>
  <si>
    <t>% de Ejecución 31/01/2025 M$</t>
  </si>
  <si>
    <t>Presupuesto  Vigente al 31/01/2024 M$</t>
  </si>
  <si>
    <t>Ejecución al 31/01/2024  M$</t>
  </si>
  <si>
    <t>%                            Ejecución al 31/01/2024  M$</t>
  </si>
  <si>
    <t>MOVIMIENTO AÑO 2025</t>
  </si>
  <si>
    <t>GASTO AÑO 2025</t>
  </si>
  <si>
    <t>2303001 Indemnización de Cargo Fiscal</t>
  </si>
  <si>
    <t>2409 A Unidades o Programas del Servicio</t>
  </si>
  <si>
    <t>2409409 Oficina Revitalización de Barrios e Infraestructur</t>
  </si>
  <si>
    <t>Indemnización de Cargo Fiscal</t>
  </si>
  <si>
    <t>A Unidades o Programas del Servicio</t>
  </si>
  <si>
    <t>Oficina Revitalización de Barrios e Infraestructur</t>
  </si>
  <si>
    <t>23.03.001</t>
  </si>
  <si>
    <t>24.09.409</t>
  </si>
  <si>
    <t>Distribución Inicial al 31.01.2024</t>
  </si>
  <si>
    <t>29.06.002</t>
  </si>
  <si>
    <t>21.03.003</t>
  </si>
  <si>
    <t>22.04.002</t>
  </si>
  <si>
    <t>22.08.003</t>
  </si>
  <si>
    <t>21.03.001</t>
  </si>
  <si>
    <t>2401030</t>
  </si>
  <si>
    <t>2409034</t>
  </si>
  <si>
    <t>2599001</t>
  </si>
  <si>
    <t>2599202</t>
  </si>
  <si>
    <t>ENERO DE 2025</t>
  </si>
  <si>
    <t>24.01.030</t>
  </si>
  <si>
    <t>Programa de Apoyo al Mejoramiento de la Gestión y de Servicios Municipales</t>
  </si>
  <si>
    <t>24.09.034</t>
  </si>
  <si>
    <t>m$ Monto Requerimiento</t>
  </si>
  <si>
    <t>m$ Monto Compromiso</t>
  </si>
  <si>
    <t>m$ Monto Devengo</t>
  </si>
  <si>
    <t>2409407</t>
  </si>
  <si>
    <t>Servicio Asistencia Técnica Especializada SATE</t>
  </si>
  <si>
    <t>42447001</t>
  </si>
  <si>
    <t>Gastos de Honorarios</t>
  </si>
  <si>
    <t>Municipalidades (Programa Revitalización de Barrio</t>
  </si>
  <si>
    <t>35</t>
  </si>
  <si>
    <t>Enero de 2025</t>
  </si>
  <si>
    <t>La Ley de Presupuesto del año 2025 introduce una modificación en la imputación presupuestaria de la Oficina de Revitalización de Barrios e Infraestructura Patrimonial, actualizando su clasificación. El ítem presupuestario cambia de '03 A Otras Entidades Públicas' a '09 A Unidades o Programas del Servicio'</t>
  </si>
  <si>
    <t>La Ley de Presupuesto del año 2025 introduce una modificación en la imputación presupuestaria de la Fondo Concursable Becas - Ley N°20.742 actualizando su clasificación. El ítem presupuestario cambia de '03 A Otras Entidades Públicas' a '09 A Unidades o Programas del Servicio'</t>
  </si>
  <si>
    <t>Decreto N°3 Reg. 0086EE TT 23.01.2025</t>
  </si>
  <si>
    <t>(Todas)</t>
  </si>
  <si>
    <t>Etiquetas de fila</t>
  </si>
  <si>
    <t>Total general</t>
  </si>
  <si>
    <t>% Ejecución 2025.</t>
  </si>
  <si>
    <t>% Ejecución 2024.</t>
  </si>
  <si>
    <t>(Varios elementos)</t>
  </si>
  <si>
    <t>Presupuesto Inicial 2025.</t>
  </si>
  <si>
    <t>Presupuesto Vigente.</t>
  </si>
  <si>
    <r>
      <t xml:space="preserve">La Ley de Presupuesto del año 2025 introduce una modificación en la imputación presupuestaria del </t>
    </r>
    <r>
      <rPr>
        <b/>
        <sz val="12"/>
        <color rgb="FF000000"/>
        <rFont val="Calibri"/>
        <family val="2"/>
      </rPr>
      <t>Servicio Asistencia Técnica E</t>
    </r>
    <r>
      <rPr>
        <b/>
        <sz val="12"/>
        <color indexed="8"/>
        <rFont val="Calibri"/>
        <family val="2"/>
      </rPr>
      <t>specializada SATE actualizando su clasificación. El ítem presupuestario cambia de '03 A Otras Entidades Públicas' a '09 A Unidades o Programas del Servicio'</t>
    </r>
  </si>
  <si>
    <t>24.09.407</t>
  </si>
  <si>
    <t>Presupuesto  Vigente al 28/02/2024 M$</t>
  </si>
  <si>
    <t>Ejecución al 28/02/2024  M$</t>
  </si>
  <si>
    <t>%                            Ejecución al 28/02/2024  M$</t>
  </si>
  <si>
    <t>Ejecución al 28/02/2025 M$</t>
  </si>
  <si>
    <t>% de Ejecución 28/02/2025 M$</t>
  </si>
  <si>
    <t>2201 Alimentos y Bebidas</t>
  </si>
  <si>
    <t>2201001 Para Personas</t>
  </si>
  <si>
    <t>Alimentos y Bebidas</t>
  </si>
  <si>
    <t>Para Personas</t>
  </si>
  <si>
    <t>FEBRERO ACUMULADO</t>
  </si>
  <si>
    <t>FEBRERO DE 2025</t>
  </si>
  <si>
    <t>42447002</t>
  </si>
  <si>
    <t>Viaticos</t>
  </si>
  <si>
    <t>FEBRERO ACUMULADO 2025</t>
  </si>
  <si>
    <t>MODIFICACIONES RELEVANTES MUNICIPALIDADES AL 28  DE FEBRERO DE 2025</t>
  </si>
  <si>
    <t>SITUACIÓN PRESUPUESTARIA AÑO 2025 AL 28/02/2025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</si>
</sst>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64" formatCode="_-&quot;$&quot;\ * #,##0.00_-;\-&quot;$&quot;\ * #,##0.00_-;_-&quot;$&quot;\ * &quot;-&quot;??_-;_-@_-"/>
    <numFmt numFmtId="165" formatCode="_-* #,##0.00_-;\-* #,##0.00_-;_-* &quot;-&quot;??_-;_-@_-"/>
    <numFmt numFmtId="166" formatCode="_-* #,##0.00\ _€_-;\-* #,##0.00\ _€_-;_-* &quot;-&quot;??\ _€_-;_-@_-"/>
    <numFmt numFmtId="167" formatCode="00"/>
    <numFmt numFmtId="168" formatCode="000"/>
    <numFmt numFmtId="169" formatCode="#,##0_ ;[Red]\-#,##0\ "/>
    <numFmt numFmtId="170" formatCode="#,##0.000"/>
    <numFmt numFmtId="171" formatCode="_-* #,##0_-;\-* #,##0_-;_-* &quot;-&quot;??_-;_-@_-"/>
    <numFmt numFmtId="172" formatCode="0.0%"/>
    <numFmt numFmtId="173" formatCode="#,##0;\(#,##0\)"/>
    <numFmt numFmtId="174" formatCode="_(&quot;$&quot;* #,##0_);_(&quot;$&quot;* \(#,##0\);_(&quot;$&quot;* &quot;-&quot;_);_(@_)"/>
    <numFmt numFmtId="175" formatCode="_ * #,##0.0_ ;_ * \-#,##0.0_ ;_ * &quot;-&quot;_ ;_ @_ "/>
  </numFmts>
  <fonts count="67" x14ac:knownFonts="1">
    <font>
      <sz val="11"/>
      <color theme="1"/>
      <name val="Calibri"/>
      <family val="2"/>
      <scheme val="minor"/>
    </font>
    <font>
      <sz val="10"/>
      <color indexed="8"/>
      <name val="Arial"/>
      <family val="2"/>
    </font>
    <font>
      <b/>
      <sz val="10"/>
      <color indexed="8"/>
      <name val="Arial"/>
      <family val="2"/>
    </font>
    <font>
      <sz val="10"/>
      <name val="Arial"/>
      <family val="2"/>
    </font>
    <font>
      <b/>
      <sz val="12"/>
      <color indexed="8"/>
      <name val="Arial"/>
      <family val="2"/>
    </font>
    <font>
      <b/>
      <sz val="14"/>
      <color indexed="8"/>
      <name val="Arial"/>
      <family val="2"/>
    </font>
    <font>
      <sz val="10"/>
      <name val="Arial"/>
      <family val="2"/>
    </font>
    <font>
      <b/>
      <sz val="12"/>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1"/>
      <color indexed="8"/>
      <name val="Arial"/>
      <family val="2"/>
    </font>
    <font>
      <b/>
      <sz val="16"/>
      <color theme="0"/>
      <name val="Arial"/>
      <family val="2"/>
    </font>
    <font>
      <b/>
      <sz val="12"/>
      <color theme="0"/>
      <name val="Arial"/>
      <family val="2"/>
    </font>
    <font>
      <sz val="10"/>
      <color rgb="FFFF0000"/>
      <name val="Arial"/>
      <family val="2"/>
    </font>
    <font>
      <sz val="7"/>
      <name val="Trebuchet MS"/>
      <family val="2"/>
    </font>
    <font>
      <sz val="11"/>
      <name val="Calibri"/>
      <family val="2"/>
      <scheme val="minor"/>
    </font>
    <font>
      <sz val="9"/>
      <color rgb="FF333333"/>
      <name val="Arial"/>
      <family val="2"/>
    </font>
    <font>
      <b/>
      <sz val="10"/>
      <name val="Arial"/>
      <family val="2"/>
    </font>
    <font>
      <sz val="10"/>
      <color theme="1"/>
      <name val="Trebuchet MS"/>
      <family val="2"/>
    </font>
    <font>
      <b/>
      <sz val="9"/>
      <color indexed="81"/>
      <name val="Tahoma"/>
      <family val="2"/>
    </font>
    <font>
      <sz val="8"/>
      <name val="Calibri"/>
      <family val="2"/>
      <scheme val="minor"/>
    </font>
    <font>
      <b/>
      <sz val="10"/>
      <color rgb="FFFF0000"/>
      <name val="Arial"/>
      <family val="2"/>
    </font>
    <font>
      <sz val="10"/>
      <color theme="0"/>
      <name val="Arial"/>
      <family val="2"/>
    </font>
    <font>
      <b/>
      <sz val="10"/>
      <color theme="0"/>
      <name val="Arial"/>
      <family val="2"/>
    </font>
    <font>
      <b/>
      <sz val="11"/>
      <color theme="0"/>
      <name val="Arial"/>
      <family val="2"/>
    </font>
    <font>
      <sz val="16"/>
      <color indexed="8"/>
      <name val="Arial"/>
      <family val="2"/>
    </font>
    <font>
      <b/>
      <sz val="14"/>
      <name val="Arial"/>
      <family val="2"/>
    </font>
    <font>
      <b/>
      <sz val="11"/>
      <color indexed="8"/>
      <name val="Arial"/>
      <family val="2"/>
    </font>
    <font>
      <sz val="11"/>
      <color rgb="FF006100"/>
      <name val="Calibri"/>
      <family val="2"/>
      <scheme val="minor"/>
    </font>
    <font>
      <sz val="11"/>
      <color rgb="FF9C0006"/>
      <name val="Calibri"/>
      <family val="2"/>
      <scheme val="minor"/>
    </font>
    <font>
      <sz val="10"/>
      <color theme="5" tint="0.79998168889431442"/>
      <name val="Arial"/>
      <family val="2"/>
    </font>
    <font>
      <sz val="9"/>
      <color indexed="9"/>
      <name val="Trebuchet MS"/>
      <family val="2"/>
    </font>
    <font>
      <sz val="10"/>
      <color rgb="FFEB3C46"/>
      <name val="Arial"/>
      <family val="2"/>
    </font>
    <font>
      <sz val="9"/>
      <color indexed="81"/>
      <name val="Tahoma"/>
      <family val="2"/>
    </font>
    <font>
      <b/>
      <sz val="9"/>
      <name val="Calibri"/>
      <family val="2"/>
      <scheme val="minor"/>
    </font>
    <font>
      <sz val="9"/>
      <name val="Calibri"/>
      <family val="2"/>
      <scheme val="minor"/>
    </font>
    <font>
      <sz val="9"/>
      <color theme="1"/>
      <name val="Calibri"/>
      <family val="2"/>
      <scheme val="minor"/>
    </font>
    <font>
      <sz val="11"/>
      <color rgb="FFFF0000"/>
      <name val="Calibri"/>
      <family val="2"/>
      <scheme val="minor"/>
    </font>
    <font>
      <i/>
      <sz val="10"/>
      <color rgb="FF000000"/>
      <name val="Verdana"/>
      <family val="2"/>
    </font>
    <font>
      <b/>
      <sz val="9"/>
      <color theme="1"/>
      <name val="Calibri"/>
      <family val="2"/>
      <scheme val="minor"/>
    </font>
    <font>
      <sz val="9"/>
      <color rgb="FF666666"/>
      <name val="Calibri"/>
      <family val="2"/>
      <scheme val="minor"/>
    </font>
    <font>
      <sz val="9"/>
      <color theme="1" tint="4.9989318521683403E-2"/>
      <name val="Calibri"/>
      <family val="2"/>
      <scheme val="minor"/>
    </font>
    <font>
      <b/>
      <sz val="9"/>
      <color theme="1" tint="4.9989318521683403E-2"/>
      <name val="Calibri"/>
      <family val="2"/>
      <scheme val="minor"/>
    </font>
    <font>
      <sz val="8"/>
      <color theme="1"/>
      <name val="Calibri"/>
      <family val="2"/>
      <scheme val="minor"/>
    </font>
    <font>
      <sz val="8"/>
      <name val="Trebuchet MS"/>
      <family val="2"/>
    </font>
    <font>
      <sz val="9"/>
      <color theme="1"/>
      <name val="Arial Narrow"/>
      <family val="2"/>
    </font>
    <font>
      <b/>
      <sz val="9"/>
      <color theme="1"/>
      <name val="Arial Narrow"/>
      <family val="2"/>
    </font>
    <font>
      <b/>
      <sz val="9"/>
      <name val="Arial Narrow"/>
      <family val="2"/>
    </font>
    <font>
      <sz val="9"/>
      <name val="Arial Narrow"/>
      <family val="2"/>
    </font>
    <font>
      <b/>
      <sz val="9"/>
      <color theme="0"/>
      <name val="Arial Narrow"/>
      <family val="2"/>
    </font>
    <font>
      <sz val="9"/>
      <color theme="0"/>
      <name val="Arial Narrow"/>
      <family val="2"/>
    </font>
    <font>
      <sz val="8"/>
      <color indexed="8"/>
      <name val="Arial"/>
      <family val="2"/>
    </font>
    <font>
      <sz val="8"/>
      <name val="Arial"/>
      <family val="2"/>
    </font>
    <font>
      <b/>
      <sz val="8"/>
      <name val="Arial"/>
      <family val="2"/>
    </font>
    <font>
      <b/>
      <sz val="12"/>
      <color theme="1"/>
      <name val="Calibri"/>
      <family val="2"/>
      <scheme val="minor"/>
    </font>
    <font>
      <b/>
      <sz val="12"/>
      <color indexed="8"/>
      <name val="Calibri"/>
      <family val="2"/>
    </font>
    <font>
      <b/>
      <sz val="12"/>
      <color rgb="FF000000"/>
      <name val="Calibri"/>
      <family val="2"/>
    </font>
    <font>
      <sz val="9"/>
      <name val="Arial"/>
      <family val="2"/>
    </font>
    <font>
      <b/>
      <sz val="9"/>
      <color theme="0"/>
      <name val="Arial"/>
      <family val="2"/>
    </font>
    <font>
      <sz val="9"/>
      <color rgb="FFFF0000"/>
      <name val="Arial"/>
      <family val="2"/>
    </font>
    <font>
      <b/>
      <sz val="9"/>
      <color indexed="8"/>
      <name val="Arial"/>
      <family val="2"/>
    </font>
    <font>
      <sz val="9"/>
      <color indexed="8"/>
      <name val="Arial"/>
      <family val="2"/>
    </font>
    <font>
      <b/>
      <sz val="9"/>
      <name val="Arial"/>
      <family val="2"/>
    </font>
  </fonts>
  <fills count="28">
    <fill>
      <patternFill patternType="none"/>
    </fill>
    <fill>
      <patternFill patternType="gray125"/>
    </fill>
    <fill>
      <patternFill patternType="solid">
        <fgColor indexed="47"/>
        <bgColor indexed="64"/>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65"/>
        <bgColor indexed="64"/>
      </patternFill>
    </fill>
    <fill>
      <patternFill patternType="solid">
        <fgColor theme="0"/>
        <bgColor indexed="64"/>
      </patternFill>
    </fill>
    <fill>
      <patternFill patternType="solid">
        <fgColor rgb="FF0F69B4"/>
        <bgColor indexed="64"/>
      </patternFill>
    </fill>
    <fill>
      <patternFill patternType="solid">
        <fgColor rgb="FFEB3C46"/>
        <bgColor indexed="64"/>
      </patternFill>
    </fill>
    <fill>
      <patternFill patternType="solid">
        <fgColor theme="5"/>
        <bgColor indexed="64"/>
      </patternFill>
    </fill>
    <fill>
      <patternFill patternType="solid">
        <fgColor theme="4"/>
        <bgColor indexed="64"/>
      </patternFill>
    </fill>
    <fill>
      <patternFill patternType="solid">
        <fgColor indexed="9"/>
        <bgColor indexed="64"/>
      </patternFill>
    </fill>
    <fill>
      <patternFill patternType="solid">
        <fgColor rgb="FFE1C1D6"/>
        <bgColor indexed="64"/>
      </patternFill>
    </fill>
    <fill>
      <patternFill patternType="solid">
        <fgColor indexed="11"/>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FFFF"/>
      </patternFill>
    </fill>
    <fill>
      <patternFill patternType="solid">
        <fgColor rgb="FFFFCC66"/>
        <bgColor indexed="64"/>
      </patternFill>
    </fill>
    <fill>
      <patternFill patternType="solid">
        <fgColor rgb="FF66FF99"/>
        <bgColor indexed="64"/>
      </patternFill>
    </fill>
    <fill>
      <patternFill patternType="solid">
        <fgColor rgb="FFFF99CC"/>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5"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rgb="FFCCCCCC"/>
      </left>
      <right style="thin">
        <color rgb="FFCCCCCC"/>
      </right>
      <top/>
      <bottom/>
      <diagonal/>
    </border>
    <border>
      <left/>
      <right/>
      <top/>
      <bottom style="thin">
        <color rgb="FFCCCCCC"/>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17">
    <xf numFmtId="0" fontId="0" fillId="0" borderId="0"/>
    <xf numFmtId="0" fontId="9" fillId="3" borderId="0" applyNumberFormat="0" applyBorder="0" applyAlignment="0" applyProtection="0"/>
    <xf numFmtId="0" fontId="9" fillId="4" borderId="0" applyNumberFormat="0" applyBorder="0" applyAlignment="0" applyProtection="0"/>
    <xf numFmtId="165" fontId="8" fillId="0" borderId="0" applyFont="0" applyFill="0" applyBorder="0" applyAlignment="0" applyProtection="0"/>
    <xf numFmtId="166" fontId="6" fillId="0" borderId="0" applyFont="0" applyFill="0" applyBorder="0" applyAlignment="0" applyProtection="0"/>
    <xf numFmtId="0" fontId="6" fillId="0" borderId="0"/>
    <xf numFmtId="0" fontId="3" fillId="0" borderId="0"/>
    <xf numFmtId="9"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6" fontId="3" fillId="0" borderId="0" applyFont="0" applyFill="0" applyBorder="0" applyAlignment="0" applyProtection="0"/>
    <xf numFmtId="164" fontId="8" fillId="0" borderId="0" applyFont="0" applyFill="0" applyBorder="0" applyAlignment="0" applyProtection="0"/>
    <xf numFmtId="0" fontId="3" fillId="0" borderId="0"/>
    <xf numFmtId="165" fontId="8" fillId="0" borderId="0" applyFont="0" applyFill="0" applyBorder="0" applyAlignment="0" applyProtection="0"/>
    <xf numFmtId="41" fontId="8" fillId="0" borderId="0" applyFont="0" applyFill="0" applyBorder="0" applyAlignment="0" applyProtection="0"/>
    <xf numFmtId="0" fontId="32" fillId="18" borderId="0" applyNumberFormat="0" applyBorder="0" applyAlignment="0" applyProtection="0"/>
    <xf numFmtId="0" fontId="33" fillId="19" borderId="0" applyNumberFormat="0" applyBorder="0" applyAlignment="0" applyProtection="0"/>
  </cellStyleXfs>
  <cellXfs count="1316">
    <xf numFmtId="0" fontId="0" fillId="0" borderId="0" xfId="0"/>
    <xf numFmtId="0" fontId="1" fillId="0" borderId="0" xfId="0" applyFont="1"/>
    <xf numFmtId="3" fontId="2" fillId="5" borderId="1" xfId="0" applyNumberFormat="1" applyFont="1" applyFill="1" applyBorder="1" applyAlignment="1">
      <alignment horizontal="right" vertical="top" wrapText="1"/>
    </xf>
    <xf numFmtId="3" fontId="1" fillId="0" borderId="0" xfId="0" applyNumberFormat="1" applyFont="1"/>
    <xf numFmtId="0" fontId="1" fillId="0" borderId="0" xfId="0" applyFont="1" applyAlignment="1">
      <alignment horizontal="left"/>
    </xf>
    <xf numFmtId="167" fontId="1" fillId="0" borderId="0" xfId="0" applyNumberFormat="1" applyFont="1" applyAlignment="1">
      <alignment horizontal="left" vertical="center"/>
    </xf>
    <xf numFmtId="168" fontId="1" fillId="0" borderId="0" xfId="0" applyNumberFormat="1" applyFont="1"/>
    <xf numFmtId="3" fontId="1" fillId="0" borderId="1" xfId="0" applyNumberFormat="1" applyFont="1" applyBorder="1" applyAlignment="1">
      <alignment horizontal="right" vertical="top" wrapText="1"/>
    </xf>
    <xf numFmtId="3" fontId="2" fillId="5" borderId="1" xfId="0" applyNumberFormat="1" applyFont="1" applyFill="1" applyBorder="1"/>
    <xf numFmtId="167" fontId="2" fillId="5" borderId="1" xfId="0" applyNumberFormat="1" applyFont="1" applyFill="1" applyBorder="1" applyAlignment="1">
      <alignment horizontal="left" vertical="center" wrapText="1"/>
    </xf>
    <xf numFmtId="168" fontId="2" fillId="5" borderId="1" xfId="0" applyNumberFormat="1" applyFont="1" applyFill="1" applyBorder="1" applyAlignment="1">
      <alignment vertical="top" wrapText="1"/>
    </xf>
    <xf numFmtId="168" fontId="2" fillId="0" borderId="1" xfId="0" applyNumberFormat="1" applyFont="1" applyBorder="1" applyAlignment="1">
      <alignment vertical="top" wrapText="1"/>
    </xf>
    <xf numFmtId="167" fontId="1" fillId="5" borderId="1" xfId="0" applyNumberFormat="1" applyFont="1" applyFill="1" applyBorder="1" applyAlignment="1">
      <alignment horizontal="left" vertical="center" wrapText="1"/>
    </xf>
    <xf numFmtId="167" fontId="2" fillId="0" borderId="1" xfId="0" applyNumberFormat="1" applyFont="1" applyBorder="1" applyAlignment="1">
      <alignment horizontal="left" vertical="center" wrapText="1"/>
    </xf>
    <xf numFmtId="168" fontId="1" fillId="0" borderId="1" xfId="0" applyNumberFormat="1" applyFont="1" applyBorder="1"/>
    <xf numFmtId="3" fontId="1" fillId="0" borderId="0" xfId="0" applyNumberFormat="1" applyFont="1" applyProtection="1">
      <protection locked="0"/>
    </xf>
    <xf numFmtId="0" fontId="1" fillId="0" borderId="0" xfId="0" applyFont="1" applyProtection="1">
      <protection locked="0"/>
    </xf>
    <xf numFmtId="0" fontId="1" fillId="0" borderId="0" xfId="0" applyFont="1" applyAlignment="1" applyProtection="1">
      <alignment horizontal="left"/>
      <protection locked="0"/>
    </xf>
    <xf numFmtId="167" fontId="1" fillId="0" borderId="0" xfId="0" applyNumberFormat="1" applyFont="1" applyAlignment="1" applyProtection="1">
      <alignment horizontal="left" vertical="center"/>
      <protection locked="0"/>
    </xf>
    <xf numFmtId="168" fontId="1" fillId="0" borderId="0" xfId="0" applyNumberFormat="1" applyFont="1" applyProtection="1">
      <protection locked="0"/>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8" borderId="0" xfId="0" applyFont="1" applyFill="1"/>
    <xf numFmtId="3" fontId="1" fillId="0" borderId="0" xfId="0" applyNumberFormat="1" applyFont="1" applyAlignment="1" applyProtection="1">
      <alignment horizontal="right"/>
      <protection locked="0"/>
    </xf>
    <xf numFmtId="0" fontId="0" fillId="0" borderId="0" xfId="0" applyAlignment="1">
      <alignment horizontal="left"/>
    </xf>
    <xf numFmtId="0" fontId="19" fillId="0" borderId="0" xfId="0" applyFont="1"/>
    <xf numFmtId="3" fontId="1" fillId="9" borderId="0" xfId="0" applyNumberFormat="1" applyFont="1" applyFill="1"/>
    <xf numFmtId="0" fontId="1" fillId="9" borderId="0" xfId="0" applyFont="1" applyFill="1"/>
    <xf numFmtId="0" fontId="14" fillId="0" borderId="0" xfId="0" applyFont="1" applyProtection="1">
      <protection locked="0"/>
    </xf>
    <xf numFmtId="3" fontId="3" fillId="0" borderId="1" xfId="0" applyNumberFormat="1" applyFont="1" applyBorder="1" applyAlignment="1">
      <alignment horizontal="right" vertical="top" wrapText="1"/>
    </xf>
    <xf numFmtId="168" fontId="1" fillId="5" borderId="1" xfId="0" applyNumberFormat="1" applyFont="1" applyFill="1" applyBorder="1"/>
    <xf numFmtId="169" fontId="2" fillId="8" borderId="27" xfId="11" applyNumberFormat="1" applyFont="1" applyFill="1" applyBorder="1" applyAlignment="1">
      <alignment horizontal="right"/>
    </xf>
    <xf numFmtId="167"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wrapText="1"/>
    </xf>
    <xf numFmtId="3" fontId="3" fillId="9" borderId="1" xfId="0" applyNumberFormat="1" applyFont="1" applyFill="1" applyBorder="1"/>
    <xf numFmtId="168" fontId="21" fillId="9" borderId="1" xfId="0" quotePrefix="1" applyNumberFormat="1" applyFont="1" applyFill="1" applyBorder="1" applyAlignment="1">
      <alignment horizontal="left" vertical="center" wrapText="1"/>
    </xf>
    <xf numFmtId="49" fontId="21" fillId="9" borderId="1" xfId="0" applyNumberFormat="1" applyFont="1" applyFill="1" applyBorder="1" applyAlignment="1">
      <alignment horizontal="left" vertical="center" wrapText="1"/>
    </xf>
    <xf numFmtId="168" fontId="21" fillId="9" borderId="1" xfId="0" applyNumberFormat="1" applyFont="1" applyFill="1" applyBorder="1" applyAlignment="1">
      <alignment horizontal="right" vertical="center" wrapText="1"/>
    </xf>
    <xf numFmtId="168" fontId="21" fillId="9" borderId="1" xfId="0" applyNumberFormat="1" applyFont="1" applyFill="1" applyBorder="1" applyAlignment="1">
      <alignment horizontal="right" vertical="top" wrapText="1"/>
    </xf>
    <xf numFmtId="168" fontId="21" fillId="9" borderId="1" xfId="0" applyNumberFormat="1" applyFont="1" applyFill="1" applyBorder="1" applyAlignment="1">
      <alignment horizontal="center" vertical="center" wrapText="1"/>
    </xf>
    <xf numFmtId="49" fontId="21" fillId="9" borderId="1" xfId="0" applyNumberFormat="1" applyFont="1" applyFill="1" applyBorder="1" applyAlignment="1">
      <alignment horizontal="right" vertical="center" wrapText="1"/>
    </xf>
    <xf numFmtId="49" fontId="21" fillId="9" borderId="1" xfId="0" applyNumberFormat="1" applyFont="1" applyFill="1" applyBorder="1" applyAlignment="1">
      <alignment horizontal="right" vertical="top" wrapText="1"/>
    </xf>
    <xf numFmtId="0" fontId="17" fillId="0" borderId="0" xfId="0" applyFont="1"/>
    <xf numFmtId="167" fontId="1" fillId="0" borderId="1" xfId="0" applyNumberFormat="1" applyFont="1" applyBorder="1" applyAlignment="1">
      <alignment horizontal="left" vertical="center" wrapText="1"/>
    </xf>
    <xf numFmtId="3" fontId="21" fillId="5" borderId="1" xfId="0" applyNumberFormat="1" applyFont="1" applyFill="1" applyBorder="1" applyAlignment="1">
      <alignment horizontal="right" vertical="top" wrapText="1"/>
    </xf>
    <xf numFmtId="168" fontId="21" fillId="5" borderId="1" xfId="0" applyNumberFormat="1" applyFont="1" applyFill="1" applyBorder="1" applyAlignment="1">
      <alignment horizontal="center" vertical="center" wrapText="1"/>
    </xf>
    <xf numFmtId="168" fontId="21" fillId="5" borderId="1" xfId="0" applyNumberFormat="1" applyFont="1" applyFill="1" applyBorder="1" applyAlignment="1">
      <alignment vertical="top" wrapText="1"/>
    </xf>
    <xf numFmtId="167" fontId="21" fillId="5" borderId="1" xfId="0" applyNumberFormat="1" applyFont="1" applyFill="1" applyBorder="1" applyAlignment="1">
      <alignment horizontal="left" vertical="center" wrapText="1"/>
    </xf>
    <xf numFmtId="168" fontId="21" fillId="5" borderId="1" xfId="0" applyNumberFormat="1" applyFont="1" applyFill="1" applyBorder="1" applyAlignment="1">
      <alignment horizontal="right" vertical="center" wrapText="1"/>
    </xf>
    <xf numFmtId="167" fontId="3" fillId="0" borderId="1" xfId="0" applyNumberFormat="1" applyFont="1" applyBorder="1" applyAlignment="1">
      <alignment horizontal="left" vertical="center" wrapText="1"/>
    </xf>
    <xf numFmtId="0" fontId="0" fillId="9" borderId="0" xfId="0" applyFill="1"/>
    <xf numFmtId="0" fontId="1" fillId="9" borderId="0" xfId="0" applyFont="1" applyFill="1" applyAlignment="1">
      <alignment horizontal="left"/>
    </xf>
    <xf numFmtId="167" fontId="1" fillId="9" borderId="0" xfId="0" applyNumberFormat="1" applyFont="1" applyFill="1" applyAlignment="1">
      <alignment horizontal="left" vertical="center"/>
    </xf>
    <xf numFmtId="168" fontId="1" fillId="9" borderId="0" xfId="0" applyNumberFormat="1" applyFont="1" applyFill="1" applyAlignment="1">
      <alignment horizontal="left" vertical="center"/>
    </xf>
    <xf numFmtId="168" fontId="1" fillId="9" borderId="0" xfId="0" applyNumberFormat="1" applyFont="1" applyFill="1"/>
    <xf numFmtId="3" fontId="1" fillId="9" borderId="0" xfId="0" applyNumberFormat="1" applyFont="1" applyFill="1" applyAlignment="1">
      <alignment horizontal="right"/>
    </xf>
    <xf numFmtId="0" fontId="2" fillId="9" borderId="0" xfId="0" applyFont="1" applyFill="1"/>
    <xf numFmtId="0" fontId="17" fillId="9" borderId="0" xfId="0" applyFont="1" applyFill="1"/>
    <xf numFmtId="41" fontId="0" fillId="0" borderId="0" xfId="14" applyFont="1"/>
    <xf numFmtId="41" fontId="1" fillId="0" borderId="0" xfId="14" applyFont="1" applyFill="1" applyAlignment="1">
      <alignment vertical="top"/>
    </xf>
    <xf numFmtId="168" fontId="3" fillId="0" borderId="1" xfId="0" applyNumberFormat="1" applyFont="1" applyBorder="1" applyAlignment="1">
      <alignment horizontal="center" vertical="top" wrapText="1"/>
    </xf>
    <xf numFmtId="168" fontId="2" fillId="5" borderId="1" xfId="0" applyNumberFormat="1" applyFont="1" applyFill="1" applyBorder="1" applyAlignment="1">
      <alignment horizontal="center" vertical="top" wrapText="1"/>
    </xf>
    <xf numFmtId="168" fontId="1" fillId="0" borderId="1" xfId="0" applyNumberFormat="1" applyFont="1" applyBorder="1" applyAlignment="1">
      <alignment horizontal="center" vertical="top" wrapText="1"/>
    </xf>
    <xf numFmtId="0" fontId="29" fillId="9" borderId="0" xfId="0" applyFont="1" applyFill="1"/>
    <xf numFmtId="41" fontId="1" fillId="9" borderId="0" xfId="14" applyFont="1" applyFill="1"/>
    <xf numFmtId="41" fontId="1" fillId="9" borderId="0" xfId="14" applyFont="1" applyFill="1" applyAlignment="1">
      <alignment horizontal="right"/>
    </xf>
    <xf numFmtId="167" fontId="21" fillId="5" borderId="1" xfId="0" applyNumberFormat="1" applyFont="1" applyFill="1" applyBorder="1" applyAlignment="1">
      <alignment horizontal="left" vertical="center"/>
    </xf>
    <xf numFmtId="171" fontId="1" fillId="0" borderId="0" xfId="8" applyNumberFormat="1" applyFont="1" applyFill="1" applyBorder="1" applyAlignment="1" applyProtection="1">
      <protection locked="0"/>
    </xf>
    <xf numFmtId="3" fontId="1" fillId="0" borderId="0" xfId="7" applyNumberFormat="1" applyFont="1" applyProtection="1">
      <protection locked="0"/>
    </xf>
    <xf numFmtId="3" fontId="3" fillId="0"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wrapText="1"/>
    </xf>
    <xf numFmtId="3" fontId="21" fillId="5" borderId="1" xfId="7" applyNumberFormat="1" applyFont="1" applyFill="1" applyBorder="1" applyAlignment="1" applyProtection="1">
      <alignment horizontal="right" vertical="center"/>
    </xf>
    <xf numFmtId="41" fontId="1" fillId="0" borderId="0" xfId="14" applyFont="1" applyFill="1" applyProtection="1">
      <protection locked="0"/>
    </xf>
    <xf numFmtId="3" fontId="1" fillId="0" borderId="0" xfId="0" applyNumberFormat="1" applyFont="1" applyAlignment="1" applyProtection="1">
      <alignment horizontal="right" wrapText="1"/>
      <protection locked="0"/>
    </xf>
    <xf numFmtId="41" fontId="1" fillId="0" borderId="0" xfId="14" applyFont="1" applyFill="1"/>
    <xf numFmtId="173" fontId="18" fillId="14" borderId="0" xfId="0" applyNumberFormat="1" applyFont="1" applyFill="1" applyAlignment="1">
      <alignment horizontal="right" vertical="center"/>
    </xf>
    <xf numFmtId="3" fontId="1" fillId="9" borderId="0" xfId="0" applyNumberFormat="1" applyFont="1" applyFill="1" applyAlignment="1">
      <alignment horizontal="left"/>
    </xf>
    <xf numFmtId="3" fontId="29" fillId="9" borderId="0" xfId="0" applyNumberFormat="1" applyFont="1" applyFill="1"/>
    <xf numFmtId="3" fontId="3" fillId="9" borderId="0" xfId="8" applyNumberFormat="1" applyFont="1" applyFill="1" applyBorder="1"/>
    <xf numFmtId="168" fontId="3" fillId="9" borderId="1" xfId="0" applyNumberFormat="1" applyFont="1" applyFill="1" applyBorder="1" applyAlignment="1">
      <alignment vertical="top" wrapText="1"/>
    </xf>
    <xf numFmtId="3" fontId="3" fillId="9" borderId="1" xfId="0" applyNumberFormat="1" applyFont="1" applyFill="1" applyBorder="1" applyAlignment="1">
      <alignment horizontal="right" vertical="top"/>
    </xf>
    <xf numFmtId="49" fontId="21" fillId="9" borderId="1" xfId="0" applyNumberFormat="1" applyFont="1" applyFill="1" applyBorder="1" applyAlignment="1">
      <alignment vertical="top" wrapText="1"/>
    </xf>
    <xf numFmtId="0" fontId="0" fillId="0" borderId="0" xfId="0" pivotButton="1"/>
    <xf numFmtId="41" fontId="0" fillId="0" borderId="0" xfId="0" applyNumberFormat="1"/>
    <xf numFmtId="0" fontId="3" fillId="0" borderId="0" xfId="0" applyFont="1"/>
    <xf numFmtId="0" fontId="3" fillId="8" borderId="0" xfId="0" applyFont="1" applyFill="1"/>
    <xf numFmtId="167" fontId="21" fillId="0" borderId="1" xfId="0" applyNumberFormat="1" applyFont="1" applyBorder="1" applyAlignment="1">
      <alignment horizontal="left" vertical="center" wrapText="1"/>
    </xf>
    <xf numFmtId="3" fontId="1" fillId="0" borderId="0" xfId="7" applyNumberFormat="1" applyFont="1" applyFill="1" applyProtection="1">
      <protection locked="0"/>
    </xf>
    <xf numFmtId="3" fontId="1" fillId="0" borderId="0" xfId="7" applyNumberFormat="1" applyFont="1" applyFill="1" applyBorder="1" applyProtection="1">
      <protection locked="0"/>
    </xf>
    <xf numFmtId="169" fontId="10" fillId="0" borderId="0" xfId="1" applyNumberFormat="1" applyFont="1" applyFill="1" applyBorder="1" applyAlignment="1">
      <alignment horizontal="center" vertical="center" wrapText="1"/>
    </xf>
    <xf numFmtId="169" fontId="1" fillId="0" borderId="0" xfId="11" applyNumberFormat="1" applyFont="1" applyFill="1" applyBorder="1" applyAlignment="1">
      <alignment horizontal="right" vertical="center"/>
    </xf>
    <xf numFmtId="0" fontId="18" fillId="14" borderId="0" xfId="0" applyFont="1" applyFill="1" applyAlignment="1">
      <alignment horizontal="center" vertical="center"/>
    </xf>
    <xf numFmtId="168" fontId="3" fillId="0" borderId="1" xfId="0" applyNumberFormat="1" applyFont="1" applyBorder="1"/>
    <xf numFmtId="1" fontId="2" fillId="5" borderId="1" xfId="7" applyNumberFormat="1" applyFont="1" applyFill="1" applyBorder="1" applyAlignment="1" applyProtection="1">
      <alignment horizontal="right" vertical="top" wrapText="1"/>
    </xf>
    <xf numFmtId="167" fontId="17" fillId="0" borderId="1" xfId="0" applyNumberFormat="1" applyFont="1" applyBorder="1" applyAlignment="1">
      <alignment horizontal="left" vertical="center" wrapText="1"/>
    </xf>
    <xf numFmtId="0" fontId="1" fillId="0" borderId="0" xfId="0" applyFont="1" applyAlignment="1" applyProtection="1">
      <alignment vertical="center"/>
      <protection locked="0"/>
    </xf>
    <xf numFmtId="3" fontId="2" fillId="0" borderId="4" xfId="0" applyNumberFormat="1" applyFont="1" applyBorder="1" applyProtection="1">
      <protection locked="0"/>
    </xf>
    <xf numFmtId="3" fontId="2" fillId="0" borderId="23" xfId="0" applyNumberFormat="1" applyFont="1" applyBorder="1" applyProtection="1">
      <protection locked="0"/>
    </xf>
    <xf numFmtId="0" fontId="27" fillId="13" borderId="5" xfId="0" applyFont="1" applyFill="1" applyBorder="1" applyAlignment="1" applyProtection="1">
      <alignment horizontal="center" vertical="center"/>
      <protection locked="0"/>
    </xf>
    <xf numFmtId="0" fontId="1" fillId="0" borderId="35" xfId="0" applyFont="1" applyBorder="1" applyProtection="1">
      <protection locked="0"/>
    </xf>
    <xf numFmtId="0" fontId="1" fillId="0" borderId="30" xfId="0" applyFont="1" applyBorder="1" applyProtection="1">
      <protection locked="0"/>
    </xf>
    <xf numFmtId="0" fontId="1" fillId="0" borderId="31" xfId="0" applyFont="1" applyBorder="1" applyProtection="1">
      <protection locked="0"/>
    </xf>
    <xf numFmtId="3" fontId="27" fillId="13" borderId="6" xfId="0" applyNumberFormat="1" applyFont="1" applyFill="1" applyBorder="1" applyAlignment="1" applyProtection="1">
      <alignment horizontal="center" vertical="center" wrapText="1"/>
      <protection locked="0"/>
    </xf>
    <xf numFmtId="3" fontId="1" fillId="0" borderId="29" xfId="0" applyNumberFormat="1" applyFont="1" applyBorder="1" applyProtection="1">
      <protection locked="0"/>
    </xf>
    <xf numFmtId="3" fontId="2" fillId="0" borderId="28" xfId="0" applyNumberFormat="1" applyFont="1" applyBorder="1" applyProtection="1">
      <protection locked="0"/>
    </xf>
    <xf numFmtId="0" fontId="3" fillId="0" borderId="0" xfId="0" applyFont="1" applyAlignment="1">
      <alignment vertical="center"/>
    </xf>
    <xf numFmtId="0" fontId="1" fillId="0" borderId="0" xfId="0" applyFont="1" applyAlignment="1">
      <alignment vertical="center"/>
    </xf>
    <xf numFmtId="3" fontId="21" fillId="5" borderId="1" xfId="0" applyNumberFormat="1" applyFont="1" applyFill="1" applyBorder="1" applyAlignment="1">
      <alignment horizontal="right" vertical="center" wrapText="1"/>
    </xf>
    <xf numFmtId="3" fontId="21" fillId="5" borderId="1" xfId="0" applyNumberFormat="1" applyFont="1" applyFill="1" applyBorder="1" applyAlignment="1">
      <alignment horizontal="right" vertical="center"/>
    </xf>
    <xf numFmtId="3" fontId="21" fillId="5" borderId="1" xfId="0" applyNumberFormat="1" applyFont="1" applyFill="1" applyBorder="1" applyAlignment="1">
      <alignment vertical="center"/>
    </xf>
    <xf numFmtId="3" fontId="1" fillId="0" borderId="1" xfId="0" applyNumberFormat="1" applyFont="1" applyBorder="1" applyAlignment="1">
      <alignment horizontal="right" vertical="center" wrapText="1"/>
    </xf>
    <xf numFmtId="168" fontId="1" fillId="0" borderId="1" xfId="0" applyNumberFormat="1" applyFont="1" applyBorder="1" applyAlignment="1">
      <alignment horizontal="center" vertical="center" wrapText="1"/>
    </xf>
    <xf numFmtId="168" fontId="21" fillId="5" borderId="1" xfId="0" applyNumberFormat="1" applyFont="1" applyFill="1" applyBorder="1" applyAlignment="1">
      <alignment vertical="center" wrapText="1"/>
    </xf>
    <xf numFmtId="3" fontId="3" fillId="0" borderId="1" xfId="0" applyNumberFormat="1" applyFont="1" applyBorder="1" applyAlignment="1">
      <alignment horizontal="right" vertical="center" wrapText="1"/>
    </xf>
    <xf numFmtId="168" fontId="3" fillId="0" borderId="1" xfId="0" applyNumberFormat="1" applyFont="1" applyBorder="1" applyAlignment="1">
      <alignment vertical="center" wrapText="1"/>
    </xf>
    <xf numFmtId="168" fontId="3" fillId="5" borderId="1" xfId="0" applyNumberFormat="1" applyFont="1" applyFill="1" applyBorder="1" applyAlignment="1">
      <alignment vertical="center" wrapText="1"/>
    </xf>
    <xf numFmtId="168" fontId="3" fillId="5" borderId="1" xfId="0" applyNumberFormat="1" applyFont="1" applyFill="1" applyBorder="1" applyAlignment="1">
      <alignment vertical="center"/>
    </xf>
    <xf numFmtId="168" fontId="21" fillId="0" borderId="1" xfId="0" applyNumberFormat="1" applyFont="1" applyBorder="1" applyAlignment="1">
      <alignment horizontal="center" vertical="center" wrapText="1"/>
    </xf>
    <xf numFmtId="41" fontId="1" fillId="0" borderId="0" xfId="14" applyFont="1" applyFill="1" applyAlignment="1" applyProtection="1">
      <alignment vertical="center"/>
      <protection locked="0"/>
    </xf>
    <xf numFmtId="0" fontId="0" fillId="9" borderId="0" xfId="0" applyFill="1" applyAlignment="1">
      <alignment horizontal="center"/>
    </xf>
    <xf numFmtId="41" fontId="0" fillId="9" borderId="0" xfId="14" applyFont="1" applyFill="1"/>
    <xf numFmtId="3" fontId="32" fillId="0" borderId="0" xfId="15" applyNumberFormat="1" applyFill="1" applyProtection="1">
      <protection locked="0"/>
    </xf>
    <xf numFmtId="41" fontId="34" fillId="0" borderId="0" xfId="14" applyFont="1" applyFill="1" applyAlignment="1" applyProtection="1">
      <alignment vertical="center"/>
      <protection locked="0"/>
    </xf>
    <xf numFmtId="3" fontId="1" fillId="0" borderId="0" xfId="0" applyNumberFormat="1" applyFont="1" applyAlignment="1" applyProtection="1">
      <alignment vertical="center"/>
      <protection locked="0"/>
    </xf>
    <xf numFmtId="171" fontId="1" fillId="0" borderId="0" xfId="8" applyNumberFormat="1" applyFont="1" applyBorder="1" applyAlignment="1" applyProtection="1">
      <protection locked="0"/>
    </xf>
    <xf numFmtId="3" fontId="3" fillId="9" borderId="0" xfId="0" applyNumberFormat="1" applyFont="1" applyFill="1"/>
    <xf numFmtId="3" fontId="17" fillId="9" borderId="0" xfId="0" applyNumberFormat="1" applyFont="1" applyFill="1"/>
    <xf numFmtId="10" fontId="1" fillId="0" borderId="0" xfId="7" applyNumberFormat="1" applyFont="1" applyBorder="1"/>
    <xf numFmtId="10" fontId="1" fillId="0" borderId="0" xfId="7" applyNumberFormat="1" applyFont="1"/>
    <xf numFmtId="3" fontId="32" fillId="18" borderId="0" xfId="15" applyNumberFormat="1" applyProtection="1">
      <protection locked="0"/>
    </xf>
    <xf numFmtId="168" fontId="3" fillId="0" borderId="1" xfId="0" applyNumberFormat="1" applyFont="1" applyBorder="1" applyAlignment="1">
      <alignment vertical="center"/>
    </xf>
    <xf numFmtId="168" fontId="1" fillId="8" borderId="10" xfId="0" applyNumberFormat="1" applyFont="1" applyFill="1" applyBorder="1" applyAlignment="1" applyProtection="1">
      <alignment vertical="center"/>
      <protection locked="0"/>
    </xf>
    <xf numFmtId="168" fontId="1" fillId="8" borderId="9" xfId="0" applyNumberFormat="1" applyFont="1" applyFill="1" applyBorder="1" applyProtection="1">
      <protection locked="0"/>
    </xf>
    <xf numFmtId="168" fontId="27" fillId="13" borderId="8" xfId="0" applyNumberFormat="1" applyFont="1" applyFill="1" applyBorder="1" applyAlignment="1" applyProtection="1">
      <alignment vertical="center"/>
      <protection locked="0"/>
    </xf>
    <xf numFmtId="168" fontId="1" fillId="0" borderId="34" xfId="0" applyNumberFormat="1" applyFont="1" applyBorder="1" applyProtection="1">
      <protection locked="0"/>
    </xf>
    <xf numFmtId="41" fontId="1" fillId="0" borderId="0" xfId="14" applyFont="1" applyFill="1" applyAlignment="1" applyProtection="1">
      <alignment vertical="center" wrapText="1"/>
      <protection locked="0"/>
    </xf>
    <xf numFmtId="41" fontId="1" fillId="9" borderId="0" xfId="0" applyNumberFormat="1" applyFont="1" applyFill="1"/>
    <xf numFmtId="41" fontId="2" fillId="9" borderId="0" xfId="14" applyFont="1" applyFill="1"/>
    <xf numFmtId="41" fontId="17" fillId="9" borderId="0" xfId="14" applyFont="1" applyFill="1"/>
    <xf numFmtId="41" fontId="29" fillId="9" borderId="0" xfId="14" applyFont="1" applyFill="1"/>
    <xf numFmtId="174" fontId="1" fillId="9" borderId="0" xfId="0" applyNumberFormat="1" applyFont="1" applyFill="1"/>
    <xf numFmtId="0" fontId="35" fillId="9" borderId="0" xfId="0" applyFont="1" applyFill="1" applyAlignment="1">
      <alignment horizontal="center" vertical="center" wrapText="1"/>
    </xf>
    <xf numFmtId="174" fontId="0" fillId="9" borderId="0" xfId="0" applyNumberFormat="1" applyFill="1"/>
    <xf numFmtId="168" fontId="12" fillId="5" borderId="1" xfId="0" applyNumberFormat="1" applyFont="1" applyFill="1" applyBorder="1" applyAlignment="1">
      <alignment horizontal="center" vertical="top" wrapText="1"/>
    </xf>
    <xf numFmtId="168" fontId="12" fillId="0" borderId="1" xfId="0" applyNumberFormat="1" applyFont="1" applyBorder="1" applyAlignment="1">
      <alignment horizontal="center" vertical="top" wrapText="1"/>
    </xf>
    <xf numFmtId="168" fontId="1" fillId="0" borderId="0" xfId="0" applyNumberFormat="1" applyFont="1" applyAlignment="1">
      <alignment horizontal="center"/>
    </xf>
    <xf numFmtId="10" fontId="1" fillId="0" borderId="0" xfId="7" applyNumberFormat="1" applyFont="1" applyProtection="1">
      <protection locked="0"/>
    </xf>
    <xf numFmtId="10" fontId="1" fillId="0" borderId="0" xfId="7" applyNumberFormat="1" applyFont="1" applyFill="1" applyProtection="1">
      <protection locked="0"/>
    </xf>
    <xf numFmtId="10" fontId="1" fillId="0" borderId="0" xfId="7" applyNumberFormat="1" applyFont="1" applyFill="1" applyBorder="1" applyProtection="1">
      <protection locked="0"/>
    </xf>
    <xf numFmtId="10" fontId="1" fillId="0" borderId="0" xfId="7" applyNumberFormat="1" applyFont="1" applyFill="1" applyAlignment="1" applyProtection="1">
      <alignment vertical="center"/>
      <protection locked="0"/>
    </xf>
    <xf numFmtId="10" fontId="1" fillId="0" borderId="0" xfId="7" applyNumberFormat="1" applyFont="1" applyBorder="1" applyAlignment="1">
      <alignment horizontal="right"/>
    </xf>
    <xf numFmtId="10" fontId="1" fillId="0" borderId="0" xfId="7" applyNumberFormat="1" applyFont="1" applyAlignment="1">
      <alignment horizontal="right"/>
    </xf>
    <xf numFmtId="172" fontId="1" fillId="0" borderId="0" xfId="7" applyNumberFormat="1" applyFont="1" applyBorder="1"/>
    <xf numFmtId="172" fontId="1" fillId="0" borderId="0" xfId="7" applyNumberFormat="1" applyFont="1"/>
    <xf numFmtId="10" fontId="1" fillId="0" borderId="1" xfId="7" applyNumberFormat="1" applyFont="1" applyFill="1" applyBorder="1" applyAlignment="1" applyProtection="1">
      <alignment horizontal="center" vertical="top" wrapText="1"/>
    </xf>
    <xf numFmtId="167" fontId="3" fillId="0" borderId="1" xfId="16" applyNumberFormat="1" applyFont="1" applyFill="1" applyBorder="1" applyAlignment="1" applyProtection="1">
      <alignment horizontal="left" vertical="center" wrapText="1"/>
    </xf>
    <xf numFmtId="168" fontId="3" fillId="0" borderId="1" xfId="16" applyNumberFormat="1" applyFont="1" applyFill="1" applyBorder="1" applyAlignment="1" applyProtection="1">
      <alignment vertical="center" wrapText="1"/>
    </xf>
    <xf numFmtId="3" fontId="3" fillId="0" borderId="1" xfId="16" applyNumberFormat="1" applyFont="1" applyFill="1" applyBorder="1" applyAlignment="1" applyProtection="1">
      <alignment horizontal="right" vertical="center" wrapText="1"/>
    </xf>
    <xf numFmtId="0" fontId="3" fillId="0" borderId="0" xfId="16" applyFont="1" applyFill="1" applyAlignment="1" applyProtection="1">
      <alignment vertical="center"/>
      <protection locked="0"/>
    </xf>
    <xf numFmtId="41" fontId="1" fillId="0" borderId="0" xfId="14" applyFont="1" applyFill="1" applyAlignment="1">
      <alignment vertical="center"/>
    </xf>
    <xf numFmtId="3" fontId="3" fillId="0" borderId="1" xfId="0" applyNumberFormat="1" applyFont="1" applyBorder="1" applyAlignment="1">
      <alignment vertical="center"/>
    </xf>
    <xf numFmtId="167" fontId="25" fillId="9" borderId="1" xfId="0" applyNumberFormat="1" applyFont="1" applyFill="1" applyBorder="1" applyAlignment="1">
      <alignment horizontal="left" vertical="center" wrapText="1"/>
    </xf>
    <xf numFmtId="0" fontId="1" fillId="0" borderId="0" xfId="0" applyFont="1" applyAlignment="1">
      <alignment horizontal="center"/>
    </xf>
    <xf numFmtId="3" fontId="1" fillId="0" borderId="0" xfId="14" applyNumberFormat="1" applyFont="1" applyFill="1" applyAlignment="1" applyProtection="1">
      <alignment horizontal="right"/>
      <protection locked="0"/>
    </xf>
    <xf numFmtId="3" fontId="1" fillId="0" borderId="0" xfId="14" applyNumberFormat="1" applyFont="1" applyAlignment="1" applyProtection="1">
      <alignment horizontal="right"/>
      <protection locked="0"/>
    </xf>
    <xf numFmtId="3" fontId="32" fillId="0" borderId="0" xfId="14" applyNumberFormat="1" applyFont="1" applyFill="1" applyAlignment="1" applyProtection="1">
      <alignment horizontal="right"/>
      <protection locked="0"/>
    </xf>
    <xf numFmtId="3" fontId="1" fillId="0" borderId="0" xfId="14" applyNumberFormat="1" applyFont="1" applyFill="1" applyBorder="1" applyAlignment="1" applyProtection="1">
      <alignment horizontal="right"/>
      <protection locked="0"/>
    </xf>
    <xf numFmtId="3" fontId="1" fillId="0" borderId="0" xfId="14" applyNumberFormat="1" applyFont="1" applyFill="1" applyAlignment="1" applyProtection="1">
      <alignment horizontal="right" vertical="center"/>
      <protection locked="0"/>
    </xf>
    <xf numFmtId="3" fontId="3" fillId="9" borderId="0" xfId="14" applyNumberFormat="1" applyFont="1" applyFill="1" applyBorder="1" applyAlignment="1" applyProtection="1">
      <alignment horizontal="center" vertical="center"/>
      <protection locked="0"/>
    </xf>
    <xf numFmtId="168" fontId="21" fillId="5" borderId="1" xfId="0" applyNumberFormat="1" applyFont="1" applyFill="1" applyBorder="1" applyAlignment="1">
      <alignment vertical="center"/>
    </xf>
    <xf numFmtId="0" fontId="14" fillId="0" borderId="0" xfId="0" applyFont="1" applyAlignment="1" applyProtection="1">
      <alignment horizontal="left"/>
      <protection locked="0"/>
    </xf>
    <xf numFmtId="167" fontId="14" fillId="0" borderId="0" xfId="0" applyNumberFormat="1" applyFont="1" applyAlignment="1" applyProtection="1">
      <alignment horizontal="left" vertical="center"/>
      <protection locked="0"/>
    </xf>
    <xf numFmtId="3" fontId="14" fillId="0" borderId="0" xfId="0" applyNumberFormat="1" applyFont="1" applyProtection="1">
      <protection locked="0"/>
    </xf>
    <xf numFmtId="3" fontId="14" fillId="0" borderId="0" xfId="7" applyNumberFormat="1" applyFont="1" applyFill="1" applyBorder="1" applyProtection="1">
      <protection locked="0"/>
    </xf>
    <xf numFmtId="10" fontId="14" fillId="0" borderId="0" xfId="7" applyNumberFormat="1" applyFont="1" applyFill="1" applyBorder="1" applyProtection="1">
      <protection locked="0"/>
    </xf>
    <xf numFmtId="3" fontId="14" fillId="0" borderId="0" xfId="7" applyNumberFormat="1" applyFont="1" applyFill="1" applyProtection="1">
      <protection locked="0"/>
    </xf>
    <xf numFmtId="3" fontId="14" fillId="0" borderId="0" xfId="14" applyNumberFormat="1" applyFont="1" applyFill="1" applyAlignment="1" applyProtection="1">
      <alignment horizontal="right"/>
      <protection locked="0"/>
    </xf>
    <xf numFmtId="168" fontId="14" fillId="0" borderId="0" xfId="0" applyNumberFormat="1" applyFont="1" applyProtection="1">
      <protection locked="0"/>
    </xf>
    <xf numFmtId="41" fontId="2" fillId="9" borderId="0" xfId="0" applyNumberFormat="1" applyFont="1" applyFill="1"/>
    <xf numFmtId="174" fontId="2" fillId="9" borderId="0" xfId="0" applyNumberFormat="1" applyFont="1" applyFill="1"/>
    <xf numFmtId="10" fontId="1" fillId="0" borderId="0" xfId="0" applyNumberFormat="1" applyFont="1" applyProtection="1">
      <protection locked="0"/>
    </xf>
    <xf numFmtId="3" fontId="1" fillId="0" borderId="0" xfId="14" applyNumberFormat="1" applyFont="1" applyBorder="1" applyAlignment="1" applyProtection="1">
      <alignment horizontal="right"/>
      <protection locked="0"/>
    </xf>
    <xf numFmtId="3" fontId="1" fillId="9" borderId="0" xfId="0" applyNumberFormat="1" applyFont="1" applyFill="1" applyAlignment="1">
      <alignment horizontal="center"/>
    </xf>
    <xf numFmtId="3" fontId="17" fillId="9" borderId="0" xfId="0" applyNumberFormat="1" applyFont="1" applyFill="1" applyAlignment="1">
      <alignment horizontal="center"/>
    </xf>
    <xf numFmtId="3" fontId="21" fillId="9" borderId="1" xfId="0" applyNumberFormat="1" applyFont="1" applyFill="1" applyBorder="1" applyAlignment="1">
      <alignment horizontal="right" vertical="top" wrapText="1"/>
    </xf>
    <xf numFmtId="168" fontId="21" fillId="5" borderId="1" xfId="0" applyNumberFormat="1" applyFont="1" applyFill="1" applyBorder="1" applyAlignment="1">
      <alignment horizontal="center" vertical="top" wrapText="1"/>
    </xf>
    <xf numFmtId="41" fontId="1" fillId="9" borderId="0" xfId="14" applyFont="1" applyFill="1" applyAlignment="1">
      <alignment wrapText="1"/>
    </xf>
    <xf numFmtId="3" fontId="27" fillId="13" borderId="22" xfId="0" applyNumberFormat="1" applyFont="1" applyFill="1" applyBorder="1" applyAlignment="1" applyProtection="1">
      <alignment horizontal="center" vertical="center" wrapText="1"/>
      <protection locked="0"/>
    </xf>
    <xf numFmtId="3" fontId="1" fillId="0" borderId="18" xfId="0" applyNumberFormat="1" applyFont="1" applyBorder="1" applyProtection="1">
      <protection locked="0"/>
    </xf>
    <xf numFmtId="3" fontId="1" fillId="0" borderId="24" xfId="0" applyNumberFormat="1" applyFont="1" applyBorder="1" applyProtection="1">
      <protection locked="0"/>
    </xf>
    <xf numFmtId="172" fontId="1" fillId="9" borderId="0" xfId="14" applyNumberFormat="1" applyFont="1" applyFill="1" applyAlignment="1">
      <alignment horizontal="right"/>
    </xf>
    <xf numFmtId="3" fontId="3" fillId="9" borderId="1" xfId="14" applyNumberFormat="1" applyFont="1" applyFill="1" applyBorder="1" applyAlignment="1">
      <alignment horizontal="right" vertical="center" wrapText="1"/>
    </xf>
    <xf numFmtId="168" fontId="3" fillId="0" borderId="1" xfId="16" applyNumberFormat="1" applyFont="1" applyFill="1" applyBorder="1" applyAlignment="1" applyProtection="1">
      <alignment vertical="center"/>
    </xf>
    <xf numFmtId="3" fontId="21" fillId="5" borderId="1" xfId="0" applyNumberFormat="1" applyFont="1" applyFill="1" applyBorder="1" applyAlignment="1">
      <alignment vertical="center" wrapText="1"/>
    </xf>
    <xf numFmtId="3" fontId="21" fillId="5" borderId="1" xfId="14" applyNumberFormat="1" applyFont="1" applyFill="1" applyBorder="1" applyAlignment="1" applyProtection="1">
      <alignment vertical="center"/>
    </xf>
    <xf numFmtId="168" fontId="3" fillId="9" borderId="1" xfId="0" applyNumberFormat="1" applyFont="1" applyFill="1" applyBorder="1" applyAlignment="1">
      <alignment vertical="center"/>
    </xf>
    <xf numFmtId="41" fontId="1" fillId="0" borderId="0" xfId="14" applyFont="1" applyFill="1" applyAlignment="1">
      <alignment horizontal="center" vertical="center"/>
    </xf>
    <xf numFmtId="41" fontId="1" fillId="0" borderId="0" xfId="14" applyFont="1" applyFill="1" applyAlignment="1">
      <alignment horizontal="center" vertical="top"/>
    </xf>
    <xf numFmtId="0" fontId="3" fillId="9" borderId="0" xfId="0" applyFont="1" applyFill="1" applyAlignment="1" applyProtection="1">
      <alignment vertical="center"/>
      <protection locked="0"/>
    </xf>
    <xf numFmtId="41" fontId="1" fillId="0" borderId="0" xfId="14" applyFont="1" applyFill="1" applyAlignment="1">
      <alignment horizontal="left" vertical="center"/>
    </xf>
    <xf numFmtId="41" fontId="1" fillId="0" borderId="0" xfId="0" applyNumberFormat="1" applyFont="1" applyAlignment="1">
      <alignment vertical="center"/>
    </xf>
    <xf numFmtId="41" fontId="3" fillId="0" borderId="0" xfId="14" applyFont="1" applyFill="1" applyAlignment="1">
      <alignment vertical="center"/>
    </xf>
    <xf numFmtId="3" fontId="2" fillId="0" borderId="26" xfId="0" applyNumberFormat="1" applyFont="1" applyBorder="1" applyProtection="1">
      <protection locked="0"/>
    </xf>
    <xf numFmtId="3" fontId="2" fillId="0" borderId="27" xfId="0" applyNumberFormat="1" applyFont="1" applyBorder="1" applyProtection="1">
      <protection locked="0"/>
    </xf>
    <xf numFmtId="0" fontId="3" fillId="0" borderId="0" xfId="0" applyFont="1" applyAlignment="1">
      <alignment horizontal="center"/>
    </xf>
    <xf numFmtId="3" fontId="0" fillId="0" borderId="0" xfId="0" applyNumberFormat="1"/>
    <xf numFmtId="3" fontId="2" fillId="5" borderId="1" xfId="0" applyNumberFormat="1" applyFont="1" applyFill="1" applyBorder="1" applyAlignment="1">
      <alignment horizontal="right" vertical="center" wrapText="1"/>
    </xf>
    <xf numFmtId="168" fontId="3" fillId="0" borderId="1" xfId="0" applyNumberFormat="1" applyFont="1" applyBorder="1" applyAlignment="1">
      <alignment horizontal="center" vertical="center" wrapText="1"/>
    </xf>
    <xf numFmtId="41" fontId="1" fillId="0" borderId="0" xfId="14" applyFont="1" applyFill="1" applyAlignment="1">
      <alignment horizontal="center" vertical="center" wrapText="1"/>
    </xf>
    <xf numFmtId="41" fontId="1" fillId="9" borderId="0" xfId="14" applyFont="1" applyFill="1" applyAlignment="1">
      <alignment horizontal="left" vertical="center"/>
    </xf>
    <xf numFmtId="41" fontId="1" fillId="9" borderId="0" xfId="14" applyFont="1" applyFill="1" applyAlignment="1">
      <alignment vertical="center"/>
    </xf>
    <xf numFmtId="41" fontId="1" fillId="9" borderId="0" xfId="14" applyFont="1" applyFill="1" applyAlignment="1">
      <alignment horizontal="center" vertical="center"/>
    </xf>
    <xf numFmtId="41" fontId="1" fillId="9" borderId="0" xfId="0" applyNumberFormat="1" applyFont="1" applyFill="1" applyAlignment="1">
      <alignment vertical="center"/>
    </xf>
    <xf numFmtId="0" fontId="3" fillId="0" borderId="0" xfId="0" applyFont="1" applyAlignment="1" applyProtection="1">
      <alignment horizontal="left" vertical="center"/>
      <protection locked="0"/>
    </xf>
    <xf numFmtId="10" fontId="1" fillId="0" borderId="0" xfId="7" applyNumberFormat="1" applyFont="1" applyFill="1" applyAlignment="1">
      <alignment horizontal="right"/>
    </xf>
    <xf numFmtId="172" fontId="1" fillId="9" borderId="0" xfId="7" applyNumberFormat="1" applyFont="1" applyFill="1" applyAlignment="1">
      <alignment horizontal="center"/>
    </xf>
    <xf numFmtId="172" fontId="1" fillId="9" borderId="0" xfId="7" applyNumberFormat="1" applyFont="1" applyFill="1"/>
    <xf numFmtId="41" fontId="3" fillId="0" borderId="0" xfId="14" applyFont="1" applyFill="1" applyAlignment="1">
      <alignment horizontal="left" vertical="center"/>
    </xf>
    <xf numFmtId="41" fontId="3" fillId="0" borderId="0" xfId="14" applyFont="1" applyFill="1" applyAlignment="1">
      <alignment horizontal="center" vertical="center"/>
    </xf>
    <xf numFmtId="41" fontId="3" fillId="0" borderId="0" xfId="0" applyNumberFormat="1" applyFont="1" applyAlignment="1">
      <alignment vertical="center"/>
    </xf>
    <xf numFmtId="41" fontId="19" fillId="9" borderId="0" xfId="14" applyFont="1" applyFill="1"/>
    <xf numFmtId="174" fontId="19" fillId="9" borderId="0" xfId="0" applyNumberFormat="1" applyFont="1" applyFill="1"/>
    <xf numFmtId="41" fontId="3" fillId="9" borderId="0" xfId="0" applyNumberFormat="1" applyFont="1" applyFill="1"/>
    <xf numFmtId="3" fontId="2" fillId="5" borderId="1" xfId="0" applyNumberFormat="1" applyFont="1" applyFill="1" applyBorder="1" applyAlignment="1">
      <alignment vertical="center"/>
    </xf>
    <xf numFmtId="10" fontId="2" fillId="5" borderId="1" xfId="7" applyNumberFormat="1" applyFont="1" applyFill="1" applyBorder="1" applyAlignment="1" applyProtection="1">
      <alignment horizontal="center" vertical="center" wrapText="1"/>
    </xf>
    <xf numFmtId="10" fontId="1" fillId="0" borderId="1" xfId="7" applyNumberFormat="1" applyFont="1" applyFill="1" applyBorder="1" applyAlignment="1" applyProtection="1">
      <alignment horizontal="center" vertical="center" wrapText="1"/>
    </xf>
    <xf numFmtId="10" fontId="3" fillId="0" borderId="1" xfId="7" applyNumberFormat="1" applyFont="1" applyFill="1" applyBorder="1" applyAlignment="1" applyProtection="1">
      <alignment horizontal="center" vertical="center" wrapText="1"/>
    </xf>
    <xf numFmtId="1" fontId="2" fillId="5" borderId="1" xfId="7" applyNumberFormat="1" applyFont="1" applyFill="1" applyBorder="1" applyAlignment="1" applyProtection="1">
      <alignment horizontal="right" vertical="center" wrapText="1"/>
    </xf>
    <xf numFmtId="0" fontId="3" fillId="0" borderId="0" xfId="0" applyFont="1" applyAlignment="1" applyProtection="1">
      <alignment vertical="center"/>
      <protection locked="0"/>
    </xf>
    <xf numFmtId="41" fontId="3" fillId="0" borderId="0" xfId="14" applyFont="1" applyFill="1" applyAlignment="1" applyProtection="1">
      <alignment vertical="center"/>
      <protection locked="0"/>
    </xf>
    <xf numFmtId="41" fontId="26" fillId="0" borderId="0" xfId="14" applyFont="1" applyFill="1" applyAlignment="1">
      <alignment horizontal="left" vertical="center"/>
    </xf>
    <xf numFmtId="0" fontId="26" fillId="0" borderId="0" xfId="0" applyFont="1" applyAlignment="1">
      <alignment vertical="center"/>
    </xf>
    <xf numFmtId="172" fontId="1" fillId="0" borderId="1" xfId="7" applyNumberFormat="1" applyFont="1" applyFill="1" applyBorder="1" applyAlignment="1" applyProtection="1">
      <alignment horizontal="center" vertical="center" wrapText="1"/>
    </xf>
    <xf numFmtId="3" fontId="3" fillId="9" borderId="2" xfId="0" applyNumberFormat="1" applyFont="1" applyFill="1" applyBorder="1" applyAlignment="1">
      <alignment horizontal="right" vertical="top"/>
    </xf>
    <xf numFmtId="41" fontId="1" fillId="0" borderId="0" xfId="14" applyFont="1" applyFill="1" applyAlignment="1" applyProtection="1">
      <alignment horizontal="center" vertical="center"/>
      <protection locked="0"/>
    </xf>
    <xf numFmtId="0" fontId="2" fillId="0" borderId="0" xfId="0" applyFont="1" applyAlignment="1" applyProtection="1">
      <alignment vertical="center" wrapText="1"/>
      <protection locked="0"/>
    </xf>
    <xf numFmtId="167" fontId="21" fillId="5" borderId="1" xfId="0" applyNumberFormat="1" applyFont="1" applyFill="1" applyBorder="1" applyAlignment="1">
      <alignment horizontal="center" vertical="center" wrapText="1"/>
    </xf>
    <xf numFmtId="168"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center"/>
      <protection locked="0"/>
    </xf>
    <xf numFmtId="3" fontId="3" fillId="9" borderId="1" xfId="0" applyNumberFormat="1" applyFont="1" applyFill="1" applyBorder="1" applyAlignment="1">
      <alignment horizontal="right" vertical="center" wrapText="1"/>
    </xf>
    <xf numFmtId="167" fontId="21" fillId="9" borderId="1" xfId="0" applyNumberFormat="1" applyFont="1" applyFill="1" applyBorder="1" applyAlignment="1">
      <alignment horizontal="center" vertical="top" wrapText="1"/>
    </xf>
    <xf numFmtId="3" fontId="12" fillId="17" borderId="20" xfId="0" applyNumberFormat="1" applyFont="1" applyFill="1" applyBorder="1"/>
    <xf numFmtId="3" fontId="1" fillId="17" borderId="21" xfId="0" applyNumberFormat="1" applyFont="1" applyFill="1" applyBorder="1"/>
    <xf numFmtId="0" fontId="2" fillId="17" borderId="32" xfId="0" applyFont="1" applyFill="1" applyBorder="1" applyAlignment="1">
      <alignment horizontal="center" vertical="center"/>
    </xf>
    <xf numFmtId="3" fontId="12" fillId="17" borderId="20" xfId="0" applyNumberFormat="1" applyFont="1" applyFill="1" applyBorder="1" applyAlignment="1">
      <alignment vertical="center" wrapText="1"/>
    </xf>
    <xf numFmtId="41" fontId="1" fillId="9" borderId="32" xfId="14" applyFont="1" applyFill="1" applyBorder="1"/>
    <xf numFmtId="3" fontId="1" fillId="9" borderId="25" xfId="0" applyNumberFormat="1" applyFont="1" applyFill="1" applyBorder="1"/>
    <xf numFmtId="49" fontId="21" fillId="9" borderId="1" xfId="0" applyNumberFormat="1" applyFont="1" applyFill="1" applyBorder="1" applyAlignment="1">
      <alignment horizontal="left" vertical="top" wrapText="1"/>
    </xf>
    <xf numFmtId="3" fontId="27" fillId="13" borderId="8" xfId="0" applyNumberFormat="1" applyFont="1" applyFill="1" applyBorder="1" applyAlignment="1" applyProtection="1">
      <alignment horizontal="center" vertical="center" wrapText="1"/>
      <protection locked="0"/>
    </xf>
    <xf numFmtId="3" fontId="1" fillId="0" borderId="34" xfId="0" applyNumberFormat="1" applyFont="1" applyBorder="1" applyProtection="1">
      <protection locked="0"/>
    </xf>
    <xf numFmtId="3" fontId="1" fillId="0" borderId="9" xfId="0" applyNumberFormat="1" applyFont="1" applyBorder="1" applyProtection="1">
      <protection locked="0"/>
    </xf>
    <xf numFmtId="3" fontId="27" fillId="13" borderId="17" xfId="0" applyNumberFormat="1" applyFont="1" applyFill="1" applyBorder="1" applyAlignment="1" applyProtection="1">
      <alignment horizontal="center" vertical="center" wrapText="1"/>
      <protection locked="0"/>
    </xf>
    <xf numFmtId="3" fontId="1" fillId="0" borderId="19" xfId="0" applyNumberFormat="1" applyFont="1" applyBorder="1" applyProtection="1">
      <protection locked="0"/>
    </xf>
    <xf numFmtId="3" fontId="1" fillId="0" borderId="27" xfId="0" applyNumberFormat="1" applyFont="1" applyBorder="1" applyProtection="1">
      <protection locked="0"/>
    </xf>
    <xf numFmtId="3" fontId="2" fillId="0" borderId="24" xfId="0" applyNumberFormat="1" applyFont="1" applyBorder="1" applyProtection="1">
      <protection locked="0"/>
    </xf>
    <xf numFmtId="0" fontId="0" fillId="0" borderId="0" xfId="0" applyAlignment="1">
      <alignment wrapText="1"/>
    </xf>
    <xf numFmtId="41" fontId="1" fillId="9" borderId="0" xfId="14" applyFont="1" applyFill="1" applyAlignment="1">
      <alignment horizontal="center" vertical="center" wrapText="1"/>
    </xf>
    <xf numFmtId="0" fontId="38" fillId="0" borderId="0" xfId="0" applyFont="1"/>
    <xf numFmtId="0" fontId="3" fillId="9" borderId="0" xfId="0" applyFont="1" applyFill="1"/>
    <xf numFmtId="41" fontId="3" fillId="9" borderId="0" xfId="14" applyFont="1" applyFill="1"/>
    <xf numFmtId="174" fontId="3" fillId="9" borderId="0" xfId="0" applyNumberFormat="1" applyFont="1" applyFill="1"/>
    <xf numFmtId="168" fontId="1" fillId="0" borderId="9" xfId="0" applyNumberFormat="1" applyFont="1" applyBorder="1" applyProtection="1">
      <protection locked="0"/>
    </xf>
    <xf numFmtId="3" fontId="27" fillId="13" borderId="11" xfId="0" applyNumberFormat="1" applyFont="1" applyFill="1" applyBorder="1" applyAlignment="1" applyProtection="1">
      <alignment horizontal="center" vertical="center" wrapText="1"/>
      <protection locked="0"/>
    </xf>
    <xf numFmtId="3" fontId="1" fillId="0" borderId="12" xfId="0" applyNumberFormat="1" applyFont="1" applyBorder="1" applyProtection="1">
      <protection locked="0"/>
    </xf>
    <xf numFmtId="3" fontId="1" fillId="0" borderId="13" xfId="0" applyNumberFormat="1" applyFont="1" applyBorder="1" applyProtection="1">
      <protection locked="0"/>
    </xf>
    <xf numFmtId="3" fontId="42" fillId="0" borderId="0" xfId="0" applyNumberFormat="1" applyFont="1"/>
    <xf numFmtId="168" fontId="1" fillId="8" borderId="7" xfId="0" applyNumberFormat="1" applyFont="1" applyFill="1" applyBorder="1" applyAlignment="1" applyProtection="1">
      <alignment vertical="center"/>
      <protection locked="0"/>
    </xf>
    <xf numFmtId="169" fontId="1" fillId="8" borderId="19" xfId="11" applyNumberFormat="1" applyFont="1" applyFill="1" applyBorder="1" applyAlignment="1">
      <alignment horizontal="right"/>
    </xf>
    <xf numFmtId="0" fontId="10" fillId="13" borderId="8" xfId="1" applyFont="1" applyFill="1" applyBorder="1" applyAlignment="1">
      <alignment vertical="center"/>
    </xf>
    <xf numFmtId="0" fontId="2" fillId="8" borderId="12" xfId="0" applyFont="1" applyFill="1" applyBorder="1" applyAlignment="1">
      <alignment horizontal="left"/>
    </xf>
    <xf numFmtId="0" fontId="2" fillId="8" borderId="15" xfId="0" applyFont="1" applyFill="1" applyBorder="1" applyAlignment="1">
      <alignment horizontal="left"/>
    </xf>
    <xf numFmtId="41" fontId="2" fillId="9" borderId="0" xfId="0" applyNumberFormat="1" applyFont="1" applyFill="1" applyAlignment="1">
      <alignment vertical="center"/>
    </xf>
    <xf numFmtId="0" fontId="39" fillId="0" borderId="0" xfId="0" applyFont="1" applyAlignment="1">
      <alignment wrapText="1"/>
    </xf>
    <xf numFmtId="0" fontId="39" fillId="0" borderId="0" xfId="0" applyFont="1"/>
    <xf numFmtId="0" fontId="39" fillId="0" borderId="0" xfId="0" applyFont="1" applyAlignment="1">
      <alignment horizontal="left" vertical="center"/>
    </xf>
    <xf numFmtId="173" fontId="39" fillId="0" borderId="0" xfId="0" applyNumberFormat="1" applyFont="1" applyAlignment="1">
      <alignment horizontal="right" vertical="center"/>
    </xf>
    <xf numFmtId="41" fontId="39" fillId="0" borderId="0" xfId="0" applyNumberFormat="1" applyFont="1"/>
    <xf numFmtId="3" fontId="39" fillId="0" borderId="0" xfId="0" applyNumberFormat="1" applyFont="1"/>
    <xf numFmtId="0" fontId="40" fillId="0" borderId="0" xfId="0" applyFont="1"/>
    <xf numFmtId="3" fontId="1" fillId="0" borderId="0" xfId="0" applyNumberFormat="1" applyFont="1" applyAlignment="1">
      <alignment horizontal="center"/>
    </xf>
    <xf numFmtId="0" fontId="2" fillId="8" borderId="11" xfId="0" applyFont="1" applyFill="1" applyBorder="1" applyAlignment="1">
      <alignment horizontal="left"/>
    </xf>
    <xf numFmtId="169" fontId="1" fillId="8" borderId="22" xfId="11" applyNumberFormat="1" applyFont="1" applyFill="1" applyBorder="1" applyAlignment="1">
      <alignment horizontal="right"/>
    </xf>
    <xf numFmtId="169" fontId="1" fillId="0" borderId="0" xfId="0" applyNumberFormat="1" applyFont="1" applyAlignment="1">
      <alignment horizontal="center"/>
    </xf>
    <xf numFmtId="0" fontId="39" fillId="21" borderId="0" xfId="0" applyFont="1" applyFill="1" applyAlignment="1">
      <alignment horizontal="center" vertical="center" wrapText="1"/>
    </xf>
    <xf numFmtId="0" fontId="39" fillId="14" borderId="0" xfId="0" applyFont="1" applyFill="1" applyAlignment="1">
      <alignment horizontal="center" vertical="center"/>
    </xf>
    <xf numFmtId="173" fontId="39" fillId="14" borderId="0" xfId="0" applyNumberFormat="1" applyFont="1" applyFill="1" applyAlignment="1">
      <alignment horizontal="right" vertical="center"/>
    </xf>
    <xf numFmtId="0" fontId="39" fillId="14" borderId="0" xfId="0" applyFont="1" applyFill="1" applyAlignment="1">
      <alignment horizontal="left" vertical="center"/>
    </xf>
    <xf numFmtId="0" fontId="40" fillId="0" borderId="0" xfId="0" applyFont="1" applyAlignment="1">
      <alignment horizontal="left"/>
    </xf>
    <xf numFmtId="0" fontId="40" fillId="14" borderId="0" xfId="0" applyFont="1" applyFill="1" applyAlignment="1">
      <alignment horizontal="center" vertical="center"/>
    </xf>
    <xf numFmtId="173" fontId="40" fillId="14" borderId="0" xfId="0" applyNumberFormat="1" applyFont="1" applyFill="1" applyAlignment="1">
      <alignment horizontal="right" vertical="center"/>
    </xf>
    <xf numFmtId="41" fontId="40" fillId="9" borderId="0" xfId="14" applyFont="1" applyFill="1" applyAlignment="1"/>
    <xf numFmtId="41" fontId="40" fillId="0" borderId="0" xfId="14" applyFont="1" applyAlignment="1"/>
    <xf numFmtId="175" fontId="40" fillId="9" borderId="0" xfId="14" applyNumberFormat="1" applyFont="1" applyFill="1" applyAlignment="1"/>
    <xf numFmtId="0" fontId="44" fillId="20" borderId="37" xfId="0" applyFont="1" applyFill="1" applyBorder="1" applyAlignment="1">
      <alignment horizontal="center" vertical="center"/>
    </xf>
    <xf numFmtId="173" fontId="44" fillId="20" borderId="37" xfId="0" applyNumberFormat="1" applyFont="1" applyFill="1" applyBorder="1" applyAlignment="1">
      <alignment horizontal="right" vertical="center"/>
    </xf>
    <xf numFmtId="0" fontId="39" fillId="0" borderId="0" xfId="0" applyFont="1" applyAlignment="1">
      <alignment horizontal="center" vertical="center"/>
    </xf>
    <xf numFmtId="0" fontId="40" fillId="14" borderId="0" xfId="0" applyFont="1" applyFill="1" applyAlignment="1">
      <alignment horizontal="left" vertical="center"/>
    </xf>
    <xf numFmtId="0" fontId="17" fillId="0" borderId="0" xfId="0" applyFont="1" applyAlignment="1">
      <alignment horizontal="center" vertical="center"/>
    </xf>
    <xf numFmtId="0" fontId="0" fillId="0" borderId="0" xfId="0" applyAlignment="1">
      <alignment horizontal="center" vertical="center"/>
    </xf>
    <xf numFmtId="0" fontId="40" fillId="0" borderId="0" xfId="0" applyFont="1" applyAlignment="1">
      <alignment horizontal="center"/>
    </xf>
    <xf numFmtId="3" fontId="21" fillId="0" borderId="1" xfId="0" applyNumberFormat="1" applyFont="1" applyBorder="1" applyAlignment="1">
      <alignment horizontal="right" vertical="center" wrapText="1"/>
    </xf>
    <xf numFmtId="167" fontId="1" fillId="0" borderId="1" xfId="0" applyNumberFormat="1" applyFont="1" applyBorder="1" applyAlignment="1">
      <alignment horizontal="center" vertical="center" wrapText="1"/>
    </xf>
    <xf numFmtId="167" fontId="3" fillId="0" borderId="1" xfId="0" applyNumberFormat="1" applyFont="1" applyBorder="1" applyAlignment="1">
      <alignment horizontal="center" vertical="center" wrapText="1"/>
    </xf>
    <xf numFmtId="41" fontId="40" fillId="0" borderId="0" xfId="14" applyFont="1"/>
    <xf numFmtId="41" fontId="40" fillId="0" borderId="0" xfId="0" applyNumberFormat="1" applyFont="1"/>
    <xf numFmtId="0" fontId="2" fillId="8" borderId="13" xfId="0" applyFont="1" applyFill="1" applyBorder="1"/>
    <xf numFmtId="169" fontId="2" fillId="8" borderId="24" xfId="11" applyNumberFormat="1" applyFont="1" applyFill="1" applyBorder="1" applyAlignment="1">
      <alignment horizontal="right"/>
    </xf>
    <xf numFmtId="0" fontId="1" fillId="0" borderId="0" xfId="0" applyFont="1" applyAlignment="1">
      <alignment wrapText="1"/>
    </xf>
    <xf numFmtId="41" fontId="1" fillId="0" borderId="0" xfId="14" applyFont="1" applyFill="1" applyAlignment="1">
      <alignment vertical="center" wrapText="1"/>
    </xf>
    <xf numFmtId="41" fontId="1" fillId="0" borderId="0" xfId="14" applyFont="1" applyFill="1" applyAlignment="1">
      <alignment horizontal="center" wrapText="1"/>
    </xf>
    <xf numFmtId="41" fontId="1" fillId="0" borderId="0" xfId="14" applyFont="1" applyFill="1" applyAlignment="1">
      <alignment wrapText="1"/>
    </xf>
    <xf numFmtId="41" fontId="1" fillId="0" borderId="0" xfId="14" applyFont="1" applyAlignment="1">
      <alignment wrapText="1"/>
    </xf>
    <xf numFmtId="3" fontId="27" fillId="11" borderId="1" xfId="2" applyNumberFormat="1" applyFont="1" applyFill="1" applyBorder="1" applyAlignment="1" applyProtection="1">
      <alignment vertical="center" wrapText="1"/>
    </xf>
    <xf numFmtId="3" fontId="27" fillId="11" borderId="1" xfId="14" applyNumberFormat="1" applyFont="1" applyFill="1" applyBorder="1" applyAlignment="1" applyProtection="1">
      <alignment vertical="center"/>
    </xf>
    <xf numFmtId="0" fontId="18" fillId="0" borderId="0" xfId="0" applyFont="1" applyAlignment="1">
      <alignment horizontal="left" vertical="center"/>
    </xf>
    <xf numFmtId="168" fontId="21" fillId="5" borderId="1" xfId="0" applyNumberFormat="1" applyFont="1" applyFill="1" applyBorder="1" applyAlignment="1">
      <alignment horizontal="center" vertical="center"/>
    </xf>
    <xf numFmtId="168" fontId="3" fillId="0" borderId="1" xfId="16" applyNumberFormat="1" applyFont="1" applyFill="1" applyBorder="1" applyAlignment="1" applyProtection="1">
      <alignment horizontal="center" vertical="center" wrapText="1"/>
    </xf>
    <xf numFmtId="168" fontId="14" fillId="0" borderId="0" xfId="0" applyNumberFormat="1" applyFont="1" applyAlignment="1" applyProtection="1">
      <alignment horizontal="center" vertical="center"/>
      <protection locked="0"/>
    </xf>
    <xf numFmtId="3" fontId="2" fillId="5" borderId="1" xfId="14" applyNumberFormat="1" applyFont="1" applyFill="1" applyBorder="1"/>
    <xf numFmtId="3" fontId="21" fillId="0" borderId="1" xfId="14" applyNumberFormat="1" applyFont="1" applyFill="1" applyBorder="1" applyAlignment="1" applyProtection="1">
      <alignment horizontal="right" vertical="top" wrapText="1"/>
    </xf>
    <xf numFmtId="3" fontId="1" fillId="0" borderId="1" xfId="14" applyNumberFormat="1" applyFont="1" applyFill="1" applyBorder="1" applyAlignment="1">
      <alignment vertical="center"/>
    </xf>
    <xf numFmtId="3" fontId="1" fillId="0" borderId="0" xfId="14" applyNumberFormat="1" applyFont="1" applyBorder="1"/>
    <xf numFmtId="3" fontId="1" fillId="0" borderId="0" xfId="14" applyNumberFormat="1" applyFont="1" applyFill="1"/>
    <xf numFmtId="3" fontId="1" fillId="0" borderId="0" xfId="14" applyNumberFormat="1" applyFont="1"/>
    <xf numFmtId="168" fontId="2" fillId="5" borderId="1" xfId="0" applyNumberFormat="1" applyFont="1" applyFill="1" applyBorder="1" applyAlignment="1">
      <alignment horizontal="center" vertical="center" wrapText="1"/>
    </xf>
    <xf numFmtId="168" fontId="1" fillId="5" borderId="1" xfId="0" applyNumberFormat="1" applyFont="1" applyFill="1" applyBorder="1" applyAlignment="1">
      <alignment horizontal="center" vertical="center" wrapText="1"/>
    </xf>
    <xf numFmtId="168" fontId="1" fillId="0" borderId="1" xfId="0" quotePrefix="1" applyNumberFormat="1" applyFont="1" applyBorder="1" applyAlignment="1">
      <alignment horizontal="center" vertical="center" wrapText="1"/>
    </xf>
    <xf numFmtId="167" fontId="2" fillId="5" borderId="1" xfId="0" applyNumberFormat="1" applyFont="1" applyFill="1" applyBorder="1" applyAlignment="1">
      <alignment horizontal="center" vertical="center" wrapText="1"/>
    </xf>
    <xf numFmtId="168" fontId="1" fillId="0" borderId="0" xfId="0" applyNumberFormat="1" applyFont="1" applyAlignment="1">
      <alignment horizontal="center" vertical="center"/>
    </xf>
    <xf numFmtId="3" fontId="3" fillId="0" borderId="1" xfId="14" applyNumberFormat="1" applyFont="1" applyFill="1" applyBorder="1" applyAlignment="1">
      <alignment vertical="center"/>
    </xf>
    <xf numFmtId="3" fontId="3" fillId="0" borderId="1" xfId="14" applyNumberFormat="1" applyFont="1" applyFill="1" applyBorder="1" applyAlignment="1">
      <alignment horizontal="right" vertical="center" wrapText="1"/>
    </xf>
    <xf numFmtId="3" fontId="3" fillId="0" borderId="1" xfId="14" applyNumberFormat="1" applyFont="1" applyFill="1" applyBorder="1" applyAlignment="1">
      <alignment vertical="center" wrapText="1"/>
    </xf>
    <xf numFmtId="172" fontId="3" fillId="9" borderId="1" xfId="7" applyNumberFormat="1" applyFont="1" applyFill="1" applyBorder="1" applyAlignment="1">
      <alignment horizontal="center" vertical="center" wrapText="1"/>
    </xf>
    <xf numFmtId="1" fontId="2" fillId="0" borderId="0" xfId="14" applyNumberFormat="1" applyFont="1" applyFill="1" applyAlignment="1">
      <alignment horizontal="center" vertical="center" wrapText="1"/>
    </xf>
    <xf numFmtId="41" fontId="1" fillId="9" borderId="0" xfId="14" applyFont="1" applyFill="1" applyAlignment="1">
      <alignment horizontal="right" vertical="center"/>
    </xf>
    <xf numFmtId="41" fontId="3" fillId="9" borderId="0" xfId="0" applyNumberFormat="1" applyFont="1" applyFill="1" applyAlignment="1">
      <alignment vertical="center"/>
    </xf>
    <xf numFmtId="41" fontId="1" fillId="0" borderId="0" xfId="14" applyFont="1" applyAlignment="1" applyProtection="1">
      <alignment vertical="center"/>
      <protection locked="0"/>
    </xf>
    <xf numFmtId="0" fontId="1" fillId="9" borderId="0" xfId="0" applyFont="1" applyFill="1" applyAlignment="1" applyProtection="1">
      <alignment vertical="center"/>
      <protection locked="0"/>
    </xf>
    <xf numFmtId="0" fontId="1" fillId="9" borderId="0" xfId="0" applyFont="1" applyFill="1" applyAlignment="1" applyProtection="1">
      <alignment horizontal="center" vertical="center"/>
      <protection locked="0"/>
    </xf>
    <xf numFmtId="41" fontId="1" fillId="9" borderId="0" xfId="14" applyFont="1" applyFill="1" applyAlignment="1" applyProtection="1">
      <alignment vertical="center"/>
      <protection locked="0"/>
    </xf>
    <xf numFmtId="3" fontId="3" fillId="9" borderId="1" xfId="0" applyNumberFormat="1" applyFont="1" applyFill="1" applyBorder="1" applyAlignment="1">
      <alignment vertical="center" wrapText="1"/>
    </xf>
    <xf numFmtId="3" fontId="3" fillId="9" borderId="1" xfId="14" applyNumberFormat="1" applyFont="1" applyFill="1" applyBorder="1" applyAlignment="1" applyProtection="1">
      <alignment vertical="center"/>
    </xf>
    <xf numFmtId="3" fontId="1" fillId="9" borderId="1" xfId="0" applyNumberFormat="1" applyFont="1" applyFill="1" applyBorder="1" applyAlignment="1">
      <alignment vertical="center" wrapText="1"/>
    </xf>
    <xf numFmtId="3" fontId="1" fillId="9" borderId="1" xfId="0" applyNumberFormat="1" applyFont="1" applyFill="1" applyBorder="1" applyAlignment="1">
      <alignment horizontal="right" vertical="center" wrapText="1"/>
    </xf>
    <xf numFmtId="3" fontId="3" fillId="9" borderId="1" xfId="14" applyNumberFormat="1" applyFont="1" applyFill="1" applyBorder="1" applyAlignment="1" applyProtection="1"/>
    <xf numFmtId="41" fontId="3" fillId="9" borderId="1" xfId="14" applyFont="1" applyFill="1" applyBorder="1" applyAlignment="1" applyProtection="1">
      <protection locked="0"/>
    </xf>
    <xf numFmtId="3" fontId="3" fillId="9" borderId="1" xfId="0" applyNumberFormat="1" applyFont="1" applyFill="1" applyBorder="1" applyAlignment="1">
      <alignment horizontal="right" vertical="center"/>
    </xf>
    <xf numFmtId="3" fontId="3" fillId="9" borderId="1" xfId="0" applyNumberFormat="1" applyFont="1" applyFill="1" applyBorder="1" applyAlignment="1">
      <alignment vertical="center"/>
    </xf>
    <xf numFmtId="41" fontId="3" fillId="9" borderId="1" xfId="14" applyFont="1" applyFill="1" applyBorder="1" applyAlignment="1" applyProtection="1">
      <alignment vertical="center"/>
      <protection locked="0"/>
    </xf>
    <xf numFmtId="41" fontId="1" fillId="9" borderId="1" xfId="14" applyFont="1" applyFill="1" applyBorder="1" applyAlignment="1" applyProtection="1">
      <protection locked="0"/>
    </xf>
    <xf numFmtId="3" fontId="1" fillId="9" borderId="1" xfId="0" applyNumberFormat="1" applyFont="1" applyFill="1" applyBorder="1" applyAlignment="1">
      <alignment vertical="center"/>
    </xf>
    <xf numFmtId="167" fontId="3" fillId="9" borderId="1" xfId="0" applyNumberFormat="1" applyFont="1" applyFill="1" applyBorder="1" applyAlignment="1">
      <alignment horizontal="left" vertical="center" wrapText="1"/>
    </xf>
    <xf numFmtId="168" fontId="3" fillId="9" borderId="1" xfId="0" applyNumberFormat="1" applyFont="1" applyFill="1" applyBorder="1" applyAlignment="1">
      <alignment horizontal="center" vertical="center" wrapText="1"/>
    </xf>
    <xf numFmtId="168" fontId="3" fillId="9" borderId="1" xfId="0" applyNumberFormat="1" applyFont="1" applyFill="1" applyBorder="1" applyAlignment="1">
      <alignment vertical="center" wrapText="1"/>
    </xf>
    <xf numFmtId="0" fontId="43" fillId="0" borderId="0" xfId="0" applyFont="1"/>
    <xf numFmtId="41" fontId="40" fillId="0" borderId="0" xfId="14" applyFont="1" applyBorder="1"/>
    <xf numFmtId="41" fontId="40" fillId="9" borderId="0" xfId="14" applyFont="1" applyFill="1" applyBorder="1" applyAlignment="1"/>
    <xf numFmtId="0" fontId="39" fillId="20" borderId="0" xfId="0" applyFont="1" applyFill="1" applyAlignment="1">
      <alignment horizontal="center" vertical="center"/>
    </xf>
    <xf numFmtId="0" fontId="39" fillId="20" borderId="0" xfId="0" applyFont="1" applyFill="1" applyAlignment="1">
      <alignment horizontal="left" vertical="center"/>
    </xf>
    <xf numFmtId="173" fontId="39" fillId="20" borderId="0" xfId="0" applyNumberFormat="1" applyFont="1" applyFill="1" applyAlignment="1">
      <alignment horizontal="right" vertical="center"/>
    </xf>
    <xf numFmtId="41" fontId="40" fillId="0" borderId="0" xfId="14" applyFont="1" applyBorder="1" applyAlignment="1"/>
    <xf numFmtId="41" fontId="39" fillId="14" borderId="0" xfId="14" applyFont="1" applyFill="1" applyBorder="1" applyAlignment="1">
      <alignment horizontal="center" vertical="center"/>
    </xf>
    <xf numFmtId="0" fontId="40" fillId="0" borderId="0" xfId="0" applyFont="1" applyAlignment="1">
      <alignment horizontal="center" vertical="center"/>
    </xf>
    <xf numFmtId="0" fontId="39" fillId="14" borderId="0" xfId="0" applyFont="1" applyFill="1" applyAlignment="1">
      <alignment horizontal="center" vertical="center" wrapText="1"/>
    </xf>
    <xf numFmtId="173" fontId="39" fillId="14" borderId="0" xfId="0" applyNumberFormat="1" applyFont="1" applyFill="1" applyAlignment="1">
      <alignment horizontal="right" vertical="center" wrapText="1"/>
    </xf>
    <xf numFmtId="0" fontId="39" fillId="14" borderId="0" xfId="0" applyFont="1" applyFill="1" applyAlignment="1">
      <alignment horizontal="left" vertical="center" wrapText="1"/>
    </xf>
    <xf numFmtId="173" fontId="40" fillId="0" borderId="0" xfId="0" applyNumberFormat="1" applyFont="1"/>
    <xf numFmtId="3" fontId="40" fillId="0" borderId="0" xfId="0" applyNumberFormat="1" applyFont="1"/>
    <xf numFmtId="0" fontId="39" fillId="0" borderId="0" xfId="0" applyFont="1" applyAlignment="1">
      <alignment horizontal="center"/>
    </xf>
    <xf numFmtId="41" fontId="39" fillId="9" borderId="0" xfId="14" applyFont="1" applyFill="1" applyBorder="1" applyAlignment="1"/>
    <xf numFmtId="41" fontId="39" fillId="0" borderId="0" xfId="14" applyFont="1" applyBorder="1" applyAlignment="1"/>
    <xf numFmtId="41" fontId="39" fillId="0" borderId="0" xfId="14" applyFont="1" applyBorder="1" applyAlignment="1">
      <alignment vertical="center"/>
    </xf>
    <xf numFmtId="0" fontId="39" fillId="0" borderId="0" xfId="0" applyFont="1" applyAlignment="1">
      <alignment vertical="center"/>
    </xf>
    <xf numFmtId="0" fontId="39" fillId="0" borderId="0" xfId="0" applyFont="1" applyAlignment="1">
      <alignment horizontal="left"/>
    </xf>
    <xf numFmtId="41" fontId="39" fillId="9" borderId="0" xfId="0" applyNumberFormat="1" applyFont="1" applyFill="1"/>
    <xf numFmtId="173" fontId="39" fillId="0" borderId="0" xfId="0" applyNumberFormat="1" applyFont="1"/>
    <xf numFmtId="0" fontId="1" fillId="9" borderId="0" xfId="0" applyFont="1" applyFill="1" applyProtection="1">
      <protection locked="0"/>
    </xf>
    <xf numFmtId="3" fontId="1" fillId="9" borderId="0" xfId="0" applyNumberFormat="1" applyFont="1" applyFill="1" applyProtection="1">
      <protection locked="0"/>
    </xf>
    <xf numFmtId="3" fontId="3" fillId="0" borderId="1" xfId="0" applyNumberFormat="1" applyFont="1" applyBorder="1" applyAlignment="1">
      <alignment horizontal="right" vertical="center"/>
    </xf>
    <xf numFmtId="3" fontId="3" fillId="9" borderId="1" xfId="7" applyNumberFormat="1" applyFont="1" applyFill="1" applyBorder="1" applyAlignment="1" applyProtection="1">
      <alignment horizontal="right" vertical="center" wrapText="1"/>
    </xf>
    <xf numFmtId="3" fontId="3" fillId="9" borderId="1" xfId="8" applyNumberFormat="1" applyFont="1" applyFill="1" applyBorder="1" applyAlignment="1" applyProtection="1">
      <alignment horizontal="right" vertical="center"/>
      <protection locked="0"/>
    </xf>
    <xf numFmtId="3" fontId="1" fillId="9" borderId="1" xfId="8"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vertical="center"/>
      <protection locked="0"/>
    </xf>
    <xf numFmtId="41" fontId="43" fillId="0" borderId="0" xfId="14" applyFont="1" applyBorder="1" applyAlignment="1"/>
    <xf numFmtId="0" fontId="38" fillId="21" borderId="0" xfId="0" applyFont="1" applyFill="1" applyAlignment="1">
      <alignment horizontal="center" vertical="center" wrapText="1"/>
    </xf>
    <xf numFmtId="0" fontId="38" fillId="21" borderId="0" xfId="0" applyFont="1" applyFill="1" applyAlignment="1">
      <alignment horizontal="left" vertical="center" wrapText="1"/>
    </xf>
    <xf numFmtId="0" fontId="43" fillId="0" borderId="0" xfId="0" applyFont="1" applyAlignment="1">
      <alignment wrapText="1"/>
    </xf>
    <xf numFmtId="0" fontId="46" fillId="21" borderId="0" xfId="0" applyFont="1" applyFill="1" applyAlignment="1">
      <alignment horizontal="center" vertical="center" wrapText="1"/>
    </xf>
    <xf numFmtId="0" fontId="46" fillId="21" borderId="0" xfId="0" applyFont="1" applyFill="1" applyAlignment="1">
      <alignment horizontal="left" vertical="center" wrapText="1"/>
    </xf>
    <xf numFmtId="41" fontId="38" fillId="21" borderId="0" xfId="14" applyFont="1" applyFill="1" applyBorder="1" applyAlignment="1">
      <alignment horizontal="center" vertical="center" wrapText="1"/>
    </xf>
    <xf numFmtId="0" fontId="45" fillId="20" borderId="0" xfId="0" applyFont="1" applyFill="1" applyAlignment="1">
      <alignment horizontal="center" vertical="center"/>
    </xf>
    <xf numFmtId="0" fontId="45" fillId="20" borderId="0" xfId="0" applyFont="1" applyFill="1" applyAlignment="1">
      <alignment horizontal="left" vertical="center"/>
    </xf>
    <xf numFmtId="173" fontId="45" fillId="20" borderId="0" xfId="0" applyNumberFormat="1" applyFont="1" applyFill="1" applyAlignment="1">
      <alignment horizontal="right" vertical="center"/>
    </xf>
    <xf numFmtId="0" fontId="45" fillId="9" borderId="0" xfId="0" applyFont="1" applyFill="1" applyAlignment="1">
      <alignment horizontal="center" vertical="center"/>
    </xf>
    <xf numFmtId="0" fontId="45" fillId="9" borderId="0" xfId="0" applyFont="1" applyFill="1" applyAlignment="1">
      <alignment horizontal="left" vertical="center"/>
    </xf>
    <xf numFmtId="173" fontId="45" fillId="9" borderId="0" xfId="0" applyNumberFormat="1" applyFont="1" applyFill="1" applyAlignment="1">
      <alignment horizontal="right" vertical="center"/>
    </xf>
    <xf numFmtId="173" fontId="39" fillId="14" borderId="0" xfId="0" applyNumberFormat="1" applyFont="1" applyFill="1" applyAlignment="1">
      <alignment horizontal="center" vertical="center"/>
    </xf>
    <xf numFmtId="0" fontId="39" fillId="14" borderId="0" xfId="0" applyFont="1" applyFill="1" applyAlignment="1">
      <alignment vertical="center"/>
    </xf>
    <xf numFmtId="0" fontId="39" fillId="14" borderId="0" xfId="0" applyFont="1" applyFill="1" applyAlignment="1">
      <alignment horizontal="left" vertical="top"/>
    </xf>
    <xf numFmtId="0" fontId="39" fillId="14" borderId="0" xfId="0" applyFont="1" applyFill="1" applyAlignment="1">
      <alignment horizontal="left" vertical="top" wrapText="1"/>
    </xf>
    <xf numFmtId="0" fontId="40" fillId="0" borderId="0" xfId="0" applyFont="1" applyAlignment="1">
      <alignment horizontal="left" vertical="top"/>
    </xf>
    <xf numFmtId="0" fontId="40" fillId="0" borderId="0" xfId="0" applyFont="1" applyAlignment="1">
      <alignment vertical="top"/>
    </xf>
    <xf numFmtId="168" fontId="3" fillId="9" borderId="1" xfId="0" applyNumberFormat="1" applyFont="1" applyFill="1" applyBorder="1" applyAlignment="1">
      <alignment horizontal="right" vertical="center" wrapText="1"/>
    </xf>
    <xf numFmtId="41" fontId="1" fillId="9" borderId="0" xfId="14" applyFont="1" applyFill="1" applyProtection="1">
      <protection locked="0"/>
    </xf>
    <xf numFmtId="168" fontId="3" fillId="9" borderId="1" xfId="0" quotePrefix="1" applyNumberFormat="1" applyFont="1" applyFill="1" applyBorder="1" applyAlignment="1">
      <alignment horizontal="center" vertical="center" wrapText="1"/>
    </xf>
    <xf numFmtId="0" fontId="19" fillId="0" borderId="0" xfId="0" applyFont="1" applyAlignment="1">
      <alignment horizontal="center"/>
    </xf>
    <xf numFmtId="41" fontId="1" fillId="0" borderId="0" xfId="14" applyFont="1" applyFill="1" applyBorder="1"/>
    <xf numFmtId="41" fontId="17" fillId="0" borderId="0" xfId="14" applyFont="1" applyFill="1" applyBorder="1" applyAlignment="1">
      <alignment wrapText="1"/>
    </xf>
    <xf numFmtId="172" fontId="21" fillId="5" borderId="1" xfId="7" applyNumberFormat="1" applyFont="1" applyFill="1" applyBorder="1" applyAlignment="1" applyProtection="1">
      <alignment horizontal="center" vertical="center" wrapText="1"/>
    </xf>
    <xf numFmtId="10" fontId="1" fillId="5" borderId="1" xfId="7" applyNumberFormat="1" applyFont="1" applyFill="1" applyBorder="1" applyAlignment="1" applyProtection="1">
      <alignment horizontal="center" vertical="center" wrapText="1"/>
    </xf>
    <xf numFmtId="41" fontId="3" fillId="9" borderId="0" xfId="14" applyFont="1" applyFill="1" applyAlignment="1">
      <alignment horizontal="center" vertical="center" wrapText="1"/>
    </xf>
    <xf numFmtId="41" fontId="3" fillId="9" borderId="0" xfId="14" applyFont="1" applyFill="1" applyAlignment="1">
      <alignment horizontal="left" vertical="center"/>
    </xf>
    <xf numFmtId="41" fontId="3" fillId="9" borderId="1" xfId="14" applyFont="1" applyFill="1" applyBorder="1" applyAlignment="1">
      <alignment vertical="center" wrapText="1"/>
    </xf>
    <xf numFmtId="3" fontId="21" fillId="5" borderId="1" xfId="14" applyNumberFormat="1" applyFont="1" applyFill="1" applyBorder="1" applyAlignment="1">
      <alignment vertical="center" wrapText="1"/>
    </xf>
    <xf numFmtId="3" fontId="21" fillId="5" borderId="1" xfId="14" applyNumberFormat="1" applyFont="1" applyFill="1" applyBorder="1" applyAlignment="1">
      <alignment horizontal="right" vertical="center" wrapText="1"/>
    </xf>
    <xf numFmtId="0" fontId="2" fillId="0" borderId="0" xfId="0" applyFont="1" applyAlignment="1">
      <alignment vertical="center"/>
    </xf>
    <xf numFmtId="168" fontId="12" fillId="0" borderId="1" xfId="0" applyNumberFormat="1" applyFont="1" applyBorder="1" applyAlignment="1">
      <alignment vertical="center" wrapText="1"/>
    </xf>
    <xf numFmtId="168" fontId="12" fillId="0" borderId="1" xfId="0" applyNumberFormat="1" applyFont="1" applyBorder="1" applyAlignment="1">
      <alignment horizontal="center" vertical="center" wrapText="1"/>
    </xf>
    <xf numFmtId="3" fontId="3" fillId="0" borderId="1" xfId="14" applyNumberFormat="1" applyFont="1" applyBorder="1" applyAlignment="1">
      <alignment vertical="center" wrapText="1"/>
    </xf>
    <xf numFmtId="3" fontId="1" fillId="0" borderId="1" xfId="14" applyNumberFormat="1" applyFont="1" applyBorder="1" applyAlignment="1">
      <alignment vertical="center" wrapText="1"/>
    </xf>
    <xf numFmtId="3" fontId="1" fillId="0" borderId="1" xfId="14" applyNumberFormat="1" applyFont="1" applyFill="1" applyBorder="1" applyAlignment="1" applyProtection="1">
      <alignment horizontal="right" vertical="center" wrapText="1"/>
    </xf>
    <xf numFmtId="3" fontId="1" fillId="0" borderId="1" xfId="14" applyNumberFormat="1" applyFont="1" applyBorder="1" applyAlignment="1">
      <alignment horizontal="right" vertical="center"/>
    </xf>
    <xf numFmtId="168" fontId="13" fillId="5" borderId="1" xfId="0" applyNumberFormat="1" applyFont="1" applyFill="1" applyBorder="1" applyAlignment="1">
      <alignment horizontal="center" vertical="center" wrapText="1"/>
    </xf>
    <xf numFmtId="3" fontId="1" fillId="0" borderId="1" xfId="14" applyNumberFormat="1" applyFont="1" applyFill="1" applyBorder="1" applyAlignment="1">
      <alignment horizontal="right" vertical="center" wrapText="1"/>
    </xf>
    <xf numFmtId="3" fontId="2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xf>
    <xf numFmtId="3" fontId="1" fillId="9" borderId="1" xfId="14" applyNumberFormat="1" applyFont="1" applyFill="1" applyBorder="1" applyAlignment="1">
      <alignment horizontal="right" vertical="center" wrapText="1"/>
    </xf>
    <xf numFmtId="3" fontId="1" fillId="9" borderId="1" xfId="14" applyNumberFormat="1" applyFont="1" applyFill="1" applyBorder="1" applyAlignment="1">
      <alignment vertical="center" wrapText="1"/>
    </xf>
    <xf numFmtId="3" fontId="12" fillId="0" borderId="1" xfId="14" applyNumberFormat="1" applyFont="1" applyBorder="1" applyAlignment="1">
      <alignment vertical="center" wrapText="1"/>
    </xf>
    <xf numFmtId="41" fontId="1" fillId="0" borderId="1" xfId="0" applyNumberFormat="1" applyFont="1" applyBorder="1" applyAlignment="1">
      <alignment vertical="center"/>
    </xf>
    <xf numFmtId="3" fontId="13" fillId="5" borderId="1" xfId="14" applyNumberFormat="1" applyFont="1" applyFill="1" applyBorder="1" applyAlignment="1">
      <alignment vertical="center" wrapText="1"/>
    </xf>
    <xf numFmtId="3" fontId="2" fillId="5" borderId="1" xfId="0" applyNumberFormat="1" applyFont="1" applyFill="1" applyBorder="1" applyAlignment="1">
      <alignment horizontal="right" vertical="center"/>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horizontal="center" vertical="center" wrapText="1"/>
    </xf>
    <xf numFmtId="3" fontId="3" fillId="9" borderId="1" xfId="14" applyNumberFormat="1" applyFont="1" applyFill="1" applyBorder="1" applyAlignment="1">
      <alignment vertical="center" wrapText="1"/>
    </xf>
    <xf numFmtId="3" fontId="12" fillId="9" borderId="1" xfId="14" applyNumberFormat="1" applyFont="1" applyFill="1" applyBorder="1" applyAlignment="1">
      <alignment vertical="center" wrapText="1"/>
    </xf>
    <xf numFmtId="3" fontId="1" fillId="9" borderId="1" xfId="14" applyNumberFormat="1" applyFont="1" applyFill="1" applyBorder="1" applyAlignment="1">
      <alignment horizontal="right" vertical="center"/>
    </xf>
    <xf numFmtId="0" fontId="1" fillId="9" borderId="0" xfId="0" applyFont="1" applyFill="1" applyAlignment="1">
      <alignment vertical="center"/>
    </xf>
    <xf numFmtId="3" fontId="2" fillId="0" borderId="1" xfId="0" applyNumberFormat="1" applyFont="1" applyBorder="1" applyAlignment="1">
      <alignment horizontal="right" vertical="center" wrapText="1"/>
    </xf>
    <xf numFmtId="3" fontId="1" fillId="0" borderId="1" xfId="14" applyNumberFormat="1" applyFont="1" applyFill="1" applyBorder="1" applyAlignment="1">
      <alignment horizontal="right" vertical="center"/>
    </xf>
    <xf numFmtId="3" fontId="2" fillId="5" borderId="1" xfId="14" applyNumberFormat="1" applyFont="1" applyFill="1" applyBorder="1" applyAlignment="1">
      <alignment horizontal="right" vertical="center" wrapText="1"/>
    </xf>
    <xf numFmtId="168" fontId="13" fillId="5" borderId="1" xfId="0" applyNumberFormat="1" applyFont="1" applyFill="1" applyBorder="1" applyAlignment="1">
      <alignment horizontal="center" vertical="center"/>
    </xf>
    <xf numFmtId="3" fontId="13" fillId="5" borderId="1" xfId="14" applyNumberFormat="1" applyFont="1" applyFill="1" applyBorder="1" applyAlignment="1">
      <alignment horizontal="right" vertical="center" wrapText="1"/>
    </xf>
    <xf numFmtId="3" fontId="2" fillId="5" borderId="1" xfId="14" applyNumberFormat="1" applyFont="1" applyFill="1" applyBorder="1" applyAlignment="1">
      <alignment horizontal="right" vertical="center"/>
    </xf>
    <xf numFmtId="168" fontId="12" fillId="0" borderId="1" xfId="0" applyNumberFormat="1" applyFont="1" applyBorder="1" applyAlignment="1">
      <alignment vertical="center"/>
    </xf>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left" vertical="center"/>
    </xf>
    <xf numFmtId="3" fontId="1" fillId="0" borderId="1" xfId="0" applyNumberFormat="1" applyFont="1" applyBorder="1" applyAlignment="1">
      <alignment horizontal="right" vertical="center"/>
    </xf>
    <xf numFmtId="3" fontId="21" fillId="0" borderId="1" xfId="14" applyNumberFormat="1" applyFont="1" applyBorder="1" applyAlignment="1">
      <alignment vertical="center" wrapText="1"/>
    </xf>
    <xf numFmtId="3" fontId="21" fillId="9" borderId="1" xfId="14" applyNumberFormat="1" applyFont="1" applyFill="1" applyBorder="1" applyAlignment="1">
      <alignment vertical="center" wrapText="1"/>
    </xf>
    <xf numFmtId="3" fontId="1" fillId="9" borderId="1" xfId="14" applyNumberFormat="1" applyFont="1" applyFill="1" applyBorder="1" applyAlignment="1" applyProtection="1">
      <alignment horizontal="right" vertical="center" wrapText="1"/>
    </xf>
    <xf numFmtId="3" fontId="1" fillId="9" borderId="1" xfId="0" applyNumberFormat="1" applyFont="1" applyFill="1" applyBorder="1" applyAlignment="1">
      <alignment horizontal="right" vertical="center"/>
    </xf>
    <xf numFmtId="3" fontId="2" fillId="9" borderId="1" xfId="0" applyNumberFormat="1"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0" fontId="1" fillId="9" borderId="1" xfId="0" applyFont="1" applyFill="1" applyBorder="1" applyAlignment="1">
      <alignment vertical="center"/>
    </xf>
    <xf numFmtId="3" fontId="21" fillId="9" borderId="1" xfId="0" applyNumberFormat="1" applyFont="1" applyFill="1" applyBorder="1" applyAlignment="1">
      <alignment horizontal="right" vertical="center" wrapText="1"/>
    </xf>
    <xf numFmtId="0" fontId="2" fillId="9" borderId="0" xfId="0" applyFont="1" applyFill="1" applyAlignment="1">
      <alignment vertical="center"/>
    </xf>
    <xf numFmtId="0" fontId="3" fillId="9" borderId="0" xfId="0" applyFont="1" applyFill="1" applyAlignment="1">
      <alignment vertical="center"/>
    </xf>
    <xf numFmtId="3" fontId="3" fillId="9" borderId="1" xfId="14" applyNumberFormat="1" applyFont="1" applyFill="1" applyBorder="1" applyAlignment="1">
      <alignment horizontal="right" vertical="center"/>
    </xf>
    <xf numFmtId="168" fontId="1" fillId="9" borderId="1" xfId="0" applyNumberFormat="1" applyFont="1" applyFill="1" applyBorder="1" applyAlignment="1">
      <alignment horizontal="center" vertical="center" wrapText="1"/>
    </xf>
    <xf numFmtId="0" fontId="3" fillId="0" borderId="1" xfId="0" applyFont="1" applyBorder="1" applyAlignment="1">
      <alignment vertical="center" wrapText="1"/>
    </xf>
    <xf numFmtId="3" fontId="3" fillId="0" borderId="1" xfId="2" applyNumberFormat="1" applyFont="1" applyFill="1" applyBorder="1" applyAlignment="1" applyProtection="1">
      <alignment horizontal="right" vertical="center"/>
    </xf>
    <xf numFmtId="0" fontId="3" fillId="0" borderId="1" xfId="0" applyFont="1" applyBorder="1" applyAlignment="1">
      <alignment horizontal="center" vertical="center" wrapText="1"/>
    </xf>
    <xf numFmtId="168" fontId="2" fillId="0" borderId="1" xfId="0" applyNumberFormat="1" applyFont="1" applyBorder="1" applyAlignment="1">
      <alignment horizontal="center" vertical="center" wrapText="1"/>
    </xf>
    <xf numFmtId="168" fontId="1" fillId="0" borderId="1" xfId="0" applyNumberFormat="1" applyFont="1" applyBorder="1" applyAlignment="1">
      <alignment horizontal="left" vertical="center" wrapText="1"/>
    </xf>
    <xf numFmtId="0" fontId="1" fillId="0" borderId="1" xfId="0" applyFont="1" applyBorder="1" applyAlignment="1">
      <alignment vertical="center"/>
    </xf>
    <xf numFmtId="41" fontId="21" fillId="5" borderId="1" xfId="7" applyNumberFormat="1" applyFont="1" applyFill="1" applyBorder="1" applyAlignment="1">
      <alignment horizontal="center" vertical="center" wrapText="1"/>
    </xf>
    <xf numFmtId="168" fontId="13" fillId="0" borderId="1" xfId="0" quotePrefix="1" applyNumberFormat="1" applyFont="1" applyBorder="1" applyAlignment="1">
      <alignment vertical="center" wrapText="1"/>
    </xf>
    <xf numFmtId="168" fontId="12" fillId="0" borderId="1" xfId="0" quotePrefix="1" applyNumberFormat="1" applyFont="1" applyBorder="1" applyAlignment="1">
      <alignment vertical="center" wrapText="1"/>
    </xf>
    <xf numFmtId="49" fontId="1" fillId="0" borderId="1" xfId="0" applyNumberFormat="1" applyFont="1" applyBorder="1" applyAlignment="1">
      <alignment vertical="center" wrapText="1"/>
    </xf>
    <xf numFmtId="3" fontId="1" fillId="0" borderId="0" xfId="0" applyNumberFormat="1" applyFont="1" applyAlignment="1">
      <alignment horizontal="right" vertical="center"/>
    </xf>
    <xf numFmtId="41" fontId="1" fillId="0" borderId="0" xfId="14" applyFont="1" applyAlignment="1">
      <alignment horizontal="right" vertical="center"/>
    </xf>
    <xf numFmtId="1" fontId="1" fillId="0" borderId="0" xfId="14" applyNumberFormat="1" applyFont="1" applyAlignment="1">
      <alignment horizontal="right" vertical="center"/>
    </xf>
    <xf numFmtId="172" fontId="1" fillId="0" borderId="0" xfId="7" applyNumberFormat="1" applyFont="1" applyFill="1" applyAlignment="1">
      <alignment horizontal="center" vertical="center"/>
    </xf>
    <xf numFmtId="10" fontId="1" fillId="0" borderId="0" xfId="7" applyNumberFormat="1" applyFont="1" applyFill="1" applyAlignment="1">
      <alignment horizontal="center" vertical="center"/>
    </xf>
    <xf numFmtId="3" fontId="1" fillId="0" borderId="0" xfId="14" applyNumberFormat="1" applyFont="1" applyFill="1" applyAlignment="1">
      <alignment horizontal="right" vertical="center"/>
    </xf>
    <xf numFmtId="3" fontId="1" fillId="0" borderId="0" xfId="0" applyNumberFormat="1" applyFont="1" applyAlignment="1">
      <alignment vertical="center"/>
    </xf>
    <xf numFmtId="0" fontId="20" fillId="0" borderId="0" xfId="0" applyFont="1" applyAlignment="1">
      <alignment vertical="center"/>
    </xf>
    <xf numFmtId="0" fontId="1" fillId="0" borderId="0" xfId="0" applyFont="1" applyAlignment="1">
      <alignment horizontal="right" vertical="center"/>
    </xf>
    <xf numFmtId="10" fontId="1" fillId="0" borderId="0" xfId="7" applyNumberFormat="1" applyFont="1" applyFill="1" applyBorder="1" applyAlignment="1">
      <alignment horizontal="center" vertical="center"/>
    </xf>
    <xf numFmtId="172" fontId="1" fillId="0" borderId="0" xfId="7" applyNumberFormat="1" applyFont="1" applyFill="1" applyBorder="1" applyAlignment="1">
      <alignment horizontal="center" vertical="center"/>
    </xf>
    <xf numFmtId="3" fontId="1" fillId="0" borderId="0" xfId="14" applyNumberFormat="1" applyFont="1" applyFill="1" applyBorder="1" applyAlignment="1">
      <alignment horizontal="right" vertical="center"/>
    </xf>
    <xf numFmtId="0" fontId="39" fillId="9" borderId="0" xfId="0" applyFont="1" applyFill="1"/>
    <xf numFmtId="0" fontId="1" fillId="9" borderId="0" xfId="0" applyFont="1" applyFill="1" applyAlignment="1" applyProtection="1">
      <alignment horizontal="center" vertical="center" wrapText="1"/>
      <protection locked="0"/>
    </xf>
    <xf numFmtId="168" fontId="17" fillId="9" borderId="1" xfId="0" applyNumberFormat="1" applyFont="1" applyFill="1" applyBorder="1" applyAlignment="1">
      <alignment horizontal="center" vertical="center" wrapText="1"/>
    </xf>
    <xf numFmtId="0" fontId="2" fillId="9" borderId="0" xfId="0" applyFont="1" applyFill="1" applyAlignment="1" applyProtection="1">
      <alignment vertical="center"/>
      <protection locked="0"/>
    </xf>
    <xf numFmtId="168" fontId="1" fillId="9" borderId="1" xfId="0" applyNumberFormat="1" applyFont="1" applyFill="1" applyBorder="1" applyAlignment="1">
      <alignment horizontal="right" vertical="center" wrapText="1"/>
    </xf>
    <xf numFmtId="167" fontId="1" fillId="9" borderId="1" xfId="0" applyNumberFormat="1" applyFont="1" applyFill="1" applyBorder="1" applyAlignment="1">
      <alignment horizontal="center" vertical="center" wrapText="1"/>
    </xf>
    <xf numFmtId="0" fontId="39" fillId="9" borderId="0" xfId="0" applyFont="1" applyFill="1" applyAlignment="1">
      <alignment horizontal="center" vertical="center"/>
    </xf>
    <xf numFmtId="41" fontId="39" fillId="0" borderId="0" xfId="14" applyFont="1"/>
    <xf numFmtId="0" fontId="39" fillId="16" borderId="0" xfId="0" applyFont="1" applyFill="1" applyAlignment="1">
      <alignment horizontal="center" vertical="center" wrapText="1"/>
    </xf>
    <xf numFmtId="41" fontId="39" fillId="16" borderId="0" xfId="14" applyFont="1" applyFill="1" applyAlignment="1">
      <alignment horizontal="center" vertical="center" wrapText="1"/>
    </xf>
    <xf numFmtId="41" fontId="38" fillId="0" borderId="0" xfId="14" applyFont="1" applyBorder="1" applyAlignment="1"/>
    <xf numFmtId="0" fontId="39" fillId="14" borderId="0" xfId="0" applyFont="1" applyFill="1" applyAlignment="1">
      <alignment horizontal="center" vertical="top" wrapText="1"/>
    </xf>
    <xf numFmtId="41" fontId="43" fillId="0" borderId="0" xfId="14" applyFont="1"/>
    <xf numFmtId="0" fontId="38" fillId="22" borderId="0" xfId="0" applyFont="1" applyFill="1" applyAlignment="1">
      <alignment horizontal="center" vertical="center" wrapText="1"/>
    </xf>
    <xf numFmtId="0" fontId="38" fillId="22" borderId="0" xfId="0" applyFont="1" applyFill="1" applyAlignment="1">
      <alignment horizontal="left" vertical="center" wrapText="1"/>
    </xf>
    <xf numFmtId="41" fontId="38" fillId="22" borderId="0" xfId="14" applyFont="1" applyFill="1" applyBorder="1" applyAlignment="1">
      <alignment horizontal="center" vertical="center" wrapText="1"/>
    </xf>
    <xf numFmtId="0" fontId="39" fillId="21" borderId="0" xfId="0" applyFont="1" applyFill="1" applyAlignment="1">
      <alignment horizontal="center" vertical="center"/>
    </xf>
    <xf numFmtId="0" fontId="18" fillId="0" borderId="0" xfId="0" applyFont="1" applyAlignment="1">
      <alignment horizontal="center" vertical="center"/>
    </xf>
    <xf numFmtId="173" fontId="18" fillId="0" borderId="0" xfId="0" applyNumberFormat="1" applyFont="1" applyAlignment="1">
      <alignment horizontal="right" vertical="center"/>
    </xf>
    <xf numFmtId="41" fontId="40" fillId="0" borderId="0" xfId="14" applyFont="1" applyFill="1" applyAlignment="1"/>
    <xf numFmtId="0" fontId="24" fillId="21" borderId="0" xfId="0" applyFont="1" applyFill="1" applyAlignment="1">
      <alignment horizontal="center" vertical="center" wrapText="1"/>
    </xf>
    <xf numFmtId="0" fontId="47" fillId="0" borderId="0" xfId="0" applyFont="1" applyAlignment="1">
      <alignment wrapText="1"/>
    </xf>
    <xf numFmtId="0" fontId="48" fillId="16" borderId="0" xfId="0" applyFont="1" applyFill="1" applyAlignment="1">
      <alignment horizontal="center" vertical="center" wrapText="1"/>
    </xf>
    <xf numFmtId="0" fontId="48" fillId="15" borderId="0" xfId="0" applyFont="1" applyFill="1" applyAlignment="1">
      <alignment horizontal="center" vertical="center" wrapText="1"/>
    </xf>
    <xf numFmtId="0" fontId="18" fillId="14" borderId="0" xfId="0" applyFont="1" applyFill="1" applyAlignment="1">
      <alignment horizontal="left" vertical="center"/>
    </xf>
    <xf numFmtId="172" fontId="1" fillId="9" borderId="0" xfId="0" applyNumberFormat="1" applyFont="1" applyFill="1" applyAlignment="1">
      <alignment horizontal="center"/>
    </xf>
    <xf numFmtId="172" fontId="17" fillId="9" borderId="0" xfId="0" applyNumberFormat="1" applyFont="1" applyFill="1" applyAlignment="1">
      <alignment horizontal="center"/>
    </xf>
    <xf numFmtId="172" fontId="17" fillId="9" borderId="0" xfId="7" applyNumberFormat="1" applyFont="1" applyFill="1" applyAlignment="1">
      <alignment horizontal="center"/>
    </xf>
    <xf numFmtId="172" fontId="1" fillId="9" borderId="0" xfId="7" applyNumberFormat="1" applyFont="1" applyFill="1" applyAlignment="1">
      <alignment horizontal="right"/>
    </xf>
    <xf numFmtId="49" fontId="12" fillId="9"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49" fontId="3" fillId="9" borderId="1" xfId="0" applyNumberFormat="1" applyFont="1" applyFill="1" applyBorder="1" applyAlignment="1">
      <alignment horizontal="center" vertical="center"/>
    </xf>
    <xf numFmtId="49" fontId="1" fillId="9" borderId="1" xfId="0" applyNumberFormat="1" applyFont="1" applyFill="1" applyBorder="1" applyAlignment="1">
      <alignment horizontal="center" vertical="center"/>
    </xf>
    <xf numFmtId="168" fontId="1" fillId="9" borderId="1" xfId="0" quotePrefix="1"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xf>
    <xf numFmtId="172" fontId="1" fillId="0" borderId="0" xfId="7" applyNumberFormat="1" applyFont="1" applyAlignment="1" applyProtection="1">
      <alignment horizontal="center"/>
      <protection locked="0"/>
    </xf>
    <xf numFmtId="172" fontId="21" fillId="5" borderId="1" xfId="7" applyNumberFormat="1" applyFont="1" applyFill="1" applyBorder="1" applyAlignment="1" applyProtection="1">
      <alignment horizontal="center" vertical="center"/>
    </xf>
    <xf numFmtId="172" fontId="3" fillId="9" borderId="1" xfId="7" applyNumberFormat="1" applyFont="1" applyFill="1" applyBorder="1" applyAlignment="1" applyProtection="1">
      <alignment horizontal="center" vertical="center"/>
    </xf>
    <xf numFmtId="172" fontId="3" fillId="9" borderId="1" xfId="7" applyNumberFormat="1" applyFont="1" applyFill="1" applyBorder="1" applyAlignment="1" applyProtection="1">
      <alignment horizontal="center" vertical="center" wrapText="1"/>
    </xf>
    <xf numFmtId="172" fontId="21" fillId="0" borderId="1" xfId="7" applyNumberFormat="1" applyFont="1" applyFill="1" applyBorder="1" applyAlignment="1" applyProtection="1">
      <alignment horizontal="center" vertical="center" wrapText="1"/>
    </xf>
    <xf numFmtId="172" fontId="3" fillId="0" borderId="1" xfId="7" applyNumberFormat="1" applyFont="1" applyFill="1" applyBorder="1" applyAlignment="1" applyProtection="1">
      <alignment horizontal="center" vertical="center" wrapText="1"/>
    </xf>
    <xf numFmtId="172" fontId="14" fillId="0" borderId="0" xfId="7" applyNumberFormat="1" applyFont="1" applyAlignment="1" applyProtection="1">
      <alignment horizontal="center"/>
      <protection locked="0"/>
    </xf>
    <xf numFmtId="172" fontId="1" fillId="0" borderId="0" xfId="7" applyNumberFormat="1" applyFont="1" applyProtection="1">
      <protection locked="0"/>
    </xf>
    <xf numFmtId="172" fontId="1" fillId="0" borderId="0" xfId="7" applyNumberFormat="1" applyFont="1" applyAlignment="1" applyProtection="1">
      <alignment vertical="center"/>
      <protection locked="0"/>
    </xf>
    <xf numFmtId="172" fontId="1" fillId="0" borderId="0" xfId="14" applyNumberFormat="1" applyFont="1" applyAlignment="1" applyProtection="1">
      <alignment horizontal="center"/>
      <protection locked="0"/>
    </xf>
    <xf numFmtId="172" fontId="1" fillId="0" borderId="0" xfId="7" applyNumberFormat="1" applyFont="1" applyAlignment="1" applyProtection="1">
      <alignment horizontal="center" wrapText="1"/>
      <protection locked="0"/>
    </xf>
    <xf numFmtId="172" fontId="14" fillId="0" borderId="0" xfId="7" applyNumberFormat="1" applyFont="1" applyProtection="1">
      <protection locked="0"/>
    </xf>
    <xf numFmtId="172" fontId="1" fillId="0" borderId="0" xfId="7" applyNumberFormat="1" applyFont="1" applyAlignment="1" applyProtection="1">
      <alignment wrapText="1"/>
      <protection locked="0"/>
    </xf>
    <xf numFmtId="172" fontId="32" fillId="0" borderId="0" xfId="7" applyNumberFormat="1" applyFont="1" applyFill="1" applyProtection="1">
      <protection locked="0"/>
    </xf>
    <xf numFmtId="172" fontId="14" fillId="0" borderId="0" xfId="7" applyNumberFormat="1" applyFont="1" applyFill="1" applyProtection="1">
      <protection locked="0"/>
    </xf>
    <xf numFmtId="172" fontId="1" fillId="0" borderId="0" xfId="7" applyNumberFormat="1" applyFont="1" applyAlignment="1" applyProtection="1">
      <alignment horizontal="right"/>
      <protection locked="0"/>
    </xf>
    <xf numFmtId="3" fontId="2" fillId="2"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wrapText="1"/>
    </xf>
    <xf numFmtId="0" fontId="51" fillId="0" borderId="0" xfId="0" applyFont="1" applyAlignment="1">
      <alignment horizontal="center" vertical="center"/>
    </xf>
    <xf numFmtId="0" fontId="51" fillId="0" borderId="0" xfId="0" applyFont="1" applyAlignment="1">
      <alignment vertical="center"/>
    </xf>
    <xf numFmtId="41" fontId="51" fillId="0" borderId="0" xfId="14" applyFont="1" applyAlignment="1">
      <alignment vertical="center"/>
    </xf>
    <xf numFmtId="0" fontId="51" fillId="21" borderId="0" xfId="0" applyFont="1" applyFill="1" applyAlignment="1">
      <alignment horizontal="center" vertical="center" wrapText="1"/>
    </xf>
    <xf numFmtId="0" fontId="51" fillId="0" borderId="0" xfId="0" applyFont="1" applyAlignment="1">
      <alignment vertical="center" wrapText="1"/>
    </xf>
    <xf numFmtId="0" fontId="51" fillId="15" borderId="0" xfId="0" applyFont="1" applyFill="1" applyAlignment="1">
      <alignment horizontal="center" vertical="center" wrapText="1"/>
    </xf>
    <xf numFmtId="0" fontId="52" fillId="9" borderId="0" xfId="0" applyFont="1" applyFill="1" applyAlignment="1">
      <alignment horizontal="center" vertical="center"/>
    </xf>
    <xf numFmtId="0" fontId="52" fillId="9" borderId="0" xfId="0" applyFont="1" applyFill="1" applyAlignment="1">
      <alignment horizontal="left" vertical="center"/>
    </xf>
    <xf numFmtId="173" fontId="52" fillId="9" borderId="0" xfId="0" applyNumberFormat="1" applyFont="1" applyFill="1" applyAlignment="1">
      <alignment horizontal="right" vertical="center"/>
    </xf>
    <xf numFmtId="41" fontId="52" fillId="9" borderId="0" xfId="14" applyFont="1" applyFill="1" applyBorder="1" applyAlignment="1">
      <alignment vertical="center"/>
    </xf>
    <xf numFmtId="0" fontId="52" fillId="9" borderId="0" xfId="0" applyFont="1" applyFill="1" applyAlignment="1">
      <alignment vertical="center"/>
    </xf>
    <xf numFmtId="41" fontId="52" fillId="9" borderId="0" xfId="0" applyNumberFormat="1" applyFont="1" applyFill="1" applyAlignment="1">
      <alignment vertical="center"/>
    </xf>
    <xf numFmtId="0" fontId="52" fillId="9" borderId="0" xfId="0" applyFont="1" applyFill="1" applyAlignment="1">
      <alignment horizontal="left" vertical="top"/>
    </xf>
    <xf numFmtId="173" fontId="52" fillId="9" borderId="0" xfId="0" applyNumberFormat="1" applyFont="1" applyFill="1" applyAlignment="1">
      <alignment horizontal="right" vertical="top"/>
    </xf>
    <xf numFmtId="3" fontId="52" fillId="9" borderId="0" xfId="0" applyNumberFormat="1" applyFont="1" applyFill="1" applyAlignment="1">
      <alignment vertical="center"/>
    </xf>
    <xf numFmtId="173" fontId="52" fillId="9" borderId="0" xfId="0" applyNumberFormat="1" applyFont="1" applyFill="1" applyAlignment="1">
      <alignment vertical="center"/>
    </xf>
    <xf numFmtId="0" fontId="52" fillId="9" borderId="0" xfId="0" applyFont="1" applyFill="1"/>
    <xf numFmtId="0" fontId="3" fillId="9" borderId="1" xfId="0" applyFont="1" applyFill="1" applyBorder="1" applyAlignment="1">
      <alignment vertical="center" wrapText="1"/>
    </xf>
    <xf numFmtId="0" fontId="3" fillId="9" borderId="1" xfId="0" applyFont="1" applyFill="1" applyBorder="1" applyAlignment="1">
      <alignment horizontal="center" vertical="center" wrapText="1"/>
    </xf>
    <xf numFmtId="3" fontId="3" fillId="9" borderId="1" xfId="2" applyNumberFormat="1" applyFont="1" applyFill="1" applyBorder="1" applyAlignment="1" applyProtection="1">
      <alignment horizontal="right" vertical="center"/>
    </xf>
    <xf numFmtId="1" fontId="3" fillId="9" borderId="1" xfId="14" applyNumberFormat="1" applyFont="1" applyFill="1" applyBorder="1" applyAlignment="1">
      <alignment horizontal="right" vertical="center"/>
    </xf>
    <xf numFmtId="3" fontId="21" fillId="0" borderId="1" xfId="14" applyNumberFormat="1" applyFont="1" applyFill="1" applyBorder="1" applyAlignment="1">
      <alignment vertical="center" wrapText="1"/>
    </xf>
    <xf numFmtId="3" fontId="3" fillId="9" borderId="1" xfId="14" applyNumberFormat="1" applyFont="1" applyFill="1" applyBorder="1" applyAlignment="1">
      <alignment vertical="center"/>
    </xf>
    <xf numFmtId="3" fontId="1" fillId="9" borderId="1" xfId="14" applyNumberFormat="1" applyFont="1" applyFill="1" applyBorder="1" applyAlignment="1">
      <alignment vertical="center"/>
    </xf>
    <xf numFmtId="3" fontId="13" fillId="9" borderId="1" xfId="14" applyNumberFormat="1" applyFont="1" applyFill="1" applyBorder="1" applyAlignment="1">
      <alignment vertical="center" wrapText="1"/>
    </xf>
    <xf numFmtId="10" fontId="21" fillId="5" borderId="1" xfId="7" applyNumberFormat="1" applyFont="1" applyFill="1" applyBorder="1" applyAlignment="1">
      <alignment horizontal="center" vertical="center" wrapText="1"/>
    </xf>
    <xf numFmtId="10" fontId="3"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wrapText="1"/>
    </xf>
    <xf numFmtId="10" fontId="1" fillId="0" borderId="1" xfId="7" applyNumberFormat="1" applyFont="1" applyBorder="1" applyAlignment="1">
      <alignment horizontal="center" vertical="center"/>
    </xf>
    <xf numFmtId="10" fontId="12" fillId="0" borderId="1" xfId="7" applyNumberFormat="1" applyFont="1" applyBorder="1" applyAlignment="1">
      <alignment horizontal="center" vertical="center" wrapText="1"/>
    </xf>
    <xf numFmtId="10" fontId="13" fillId="5" borderId="1" xfId="7" applyNumberFormat="1" applyFont="1" applyFill="1" applyBorder="1" applyAlignment="1">
      <alignment horizontal="center" vertical="center" wrapText="1"/>
    </xf>
    <xf numFmtId="10" fontId="12" fillId="9" borderId="1" xfId="7" applyNumberFormat="1" applyFont="1" applyFill="1" applyBorder="1" applyAlignment="1">
      <alignment horizontal="center" vertical="center" wrapText="1"/>
    </xf>
    <xf numFmtId="10" fontId="3" fillId="9"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wrapText="1"/>
    </xf>
    <xf numFmtId="10" fontId="1" fillId="0" borderId="1" xfId="7" applyNumberFormat="1" applyFont="1" applyFill="1" applyBorder="1" applyAlignment="1">
      <alignment horizontal="center" vertical="center" wrapText="1"/>
    </xf>
    <xf numFmtId="10" fontId="1" fillId="9" borderId="1" xfId="7" applyNumberFormat="1" applyFont="1" applyFill="1" applyBorder="1" applyAlignment="1">
      <alignment horizontal="center" vertical="center"/>
    </xf>
    <xf numFmtId="10" fontId="1" fillId="0" borderId="0" xfId="7" applyNumberFormat="1" applyFont="1" applyAlignment="1">
      <alignment horizontal="center" vertical="center"/>
    </xf>
    <xf numFmtId="3" fontId="2" fillId="5" borderId="1" xfId="0" applyNumberFormat="1" applyFont="1" applyFill="1" applyBorder="1" applyAlignment="1">
      <alignment vertical="center" wrapText="1"/>
    </xf>
    <xf numFmtId="10" fontId="2" fillId="5" borderId="1" xfId="7" applyNumberFormat="1" applyFont="1" applyFill="1" applyBorder="1" applyAlignment="1">
      <alignment horizontal="center" vertical="center" wrapText="1"/>
    </xf>
    <xf numFmtId="3" fontId="21" fillId="9" borderId="1" xfId="0" applyNumberFormat="1" applyFont="1" applyFill="1" applyBorder="1" applyAlignment="1">
      <alignment vertical="center" wrapText="1"/>
    </xf>
    <xf numFmtId="41" fontId="1" fillId="0" borderId="0" xfId="14" applyFont="1" applyFill="1" applyBorder="1" applyAlignment="1">
      <alignment horizontal="center" vertical="center" wrapText="1"/>
    </xf>
    <xf numFmtId="41" fontId="1" fillId="0" borderId="0" xfId="14" applyFont="1" applyFill="1" applyAlignment="1">
      <alignment horizontal="right" vertical="center" wrapText="1"/>
    </xf>
    <xf numFmtId="41" fontId="1" fillId="0" borderId="0" xfId="14" applyFont="1" applyFill="1" applyBorder="1" applyAlignment="1">
      <alignment horizontal="left" vertical="center"/>
    </xf>
    <xf numFmtId="41" fontId="1" fillId="0" borderId="0" xfId="14" applyFont="1" applyFill="1" applyAlignment="1">
      <alignment horizontal="right" vertical="center"/>
    </xf>
    <xf numFmtId="41" fontId="3" fillId="0" borderId="0" xfId="14" applyFont="1" applyFill="1" applyAlignment="1">
      <alignment horizontal="right" vertical="center"/>
    </xf>
    <xf numFmtId="0" fontId="9" fillId="0" borderId="0" xfId="0" applyFont="1" applyAlignment="1">
      <alignment horizontal="center" vertical="center"/>
    </xf>
    <xf numFmtId="0" fontId="26" fillId="0" borderId="0" xfId="0" applyFont="1" applyAlignment="1">
      <alignment horizontal="center" vertical="center"/>
    </xf>
    <xf numFmtId="0" fontId="26" fillId="9" borderId="0" xfId="0" applyFont="1" applyFill="1" applyAlignment="1">
      <alignment vertical="center"/>
    </xf>
    <xf numFmtId="0" fontId="27" fillId="0" borderId="0" xfId="0" applyFont="1" applyAlignment="1">
      <alignment vertical="center"/>
    </xf>
    <xf numFmtId="0" fontId="21" fillId="9" borderId="1" xfId="0" applyFont="1" applyFill="1" applyBorder="1" applyAlignment="1">
      <alignment horizontal="left" vertical="top" wrapText="1"/>
    </xf>
    <xf numFmtId="0" fontId="21" fillId="9" borderId="1" xfId="0" applyFont="1" applyFill="1" applyBorder="1" applyAlignment="1">
      <alignment horizontal="left" vertical="center"/>
    </xf>
    <xf numFmtId="0" fontId="3" fillId="9" borderId="1" xfId="0" applyFont="1" applyFill="1" applyBorder="1" applyAlignment="1">
      <alignment horizontal="left" vertical="center"/>
    </xf>
    <xf numFmtId="0" fontId="3" fillId="9" borderId="1" xfId="0" applyFont="1" applyFill="1" applyBorder="1" applyAlignment="1">
      <alignment vertical="top"/>
    </xf>
    <xf numFmtId="0" fontId="3" fillId="9" borderId="1" xfId="0" applyFont="1" applyFill="1" applyBorder="1" applyAlignment="1">
      <alignment horizontal="left" vertical="top"/>
    </xf>
    <xf numFmtId="0" fontId="3" fillId="9" borderId="1" xfId="0" applyFont="1" applyFill="1" applyBorder="1" applyAlignment="1">
      <alignment horizontal="left" vertical="top"/>
      <extLst>
        <ext xmlns:xfpb="http://schemas.microsoft.com/office/spreadsheetml/2022/featurepropertybag" uri="{C7286773-470A-42A8-94C5-96B5CB345126}">
          <xfpb:xfComplement i="0"/>
        </ext>
      </extLst>
    </xf>
    <xf numFmtId="0" fontId="49" fillId="9" borderId="0" xfId="0" applyFont="1" applyFill="1"/>
    <xf numFmtId="41" fontId="49" fillId="9" borderId="0" xfId="14" applyFont="1" applyFill="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9"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1" fillId="9" borderId="1" xfId="0" applyFont="1" applyFill="1" applyBorder="1" applyAlignment="1">
      <alignment vertical="center" wrapText="1"/>
    </xf>
    <xf numFmtId="167" fontId="21" fillId="5" borderId="1" xfId="0" applyNumberFormat="1" applyFont="1" applyFill="1" applyBorder="1" applyAlignment="1">
      <alignment horizontal="center" vertical="center"/>
    </xf>
    <xf numFmtId="167" fontId="1" fillId="0" borderId="0" xfId="0" applyNumberFormat="1" applyFont="1" applyAlignment="1">
      <alignment horizontal="center" vertical="center"/>
    </xf>
    <xf numFmtId="41" fontId="54" fillId="9" borderId="0" xfId="14" applyFont="1" applyFill="1"/>
    <xf numFmtId="167" fontId="3" fillId="9"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9" borderId="1" xfId="0" applyNumberFormat="1" applyFont="1" applyFill="1" applyBorder="1" applyAlignment="1">
      <alignment horizontal="center" vertical="center" wrapText="1"/>
    </xf>
    <xf numFmtId="3" fontId="3" fillId="9" borderId="1" xfId="0" applyNumberFormat="1" applyFont="1" applyFill="1" applyBorder="1" applyAlignment="1">
      <alignment horizontal="right"/>
    </xf>
    <xf numFmtId="3" fontId="3" fillId="9" borderId="1" xfId="14" applyNumberFormat="1" applyFont="1" applyFill="1" applyBorder="1" applyAlignment="1">
      <alignment horizontal="right" vertical="top" wrapText="1"/>
    </xf>
    <xf numFmtId="3" fontId="3" fillId="9" borderId="1" xfId="14" applyNumberFormat="1" applyFont="1" applyFill="1" applyBorder="1" applyAlignment="1">
      <alignment horizontal="right"/>
    </xf>
    <xf numFmtId="168" fontId="3" fillId="9" borderId="1" xfId="0" applyNumberFormat="1" applyFont="1" applyFill="1" applyBorder="1" applyAlignment="1">
      <alignment vertical="top"/>
    </xf>
    <xf numFmtId="0" fontId="12" fillId="9" borderId="1" xfId="0" applyFont="1" applyFill="1" applyBorder="1" applyAlignment="1">
      <alignment horizontal="left" vertical="center"/>
    </xf>
    <xf numFmtId="3" fontId="12" fillId="9" borderId="1" xfId="0" applyNumberFormat="1" applyFont="1" applyFill="1" applyBorder="1" applyAlignment="1">
      <alignment horizontal="right" vertical="top" wrapText="1"/>
    </xf>
    <xf numFmtId="3" fontId="2" fillId="9" borderId="0" xfId="0" applyNumberFormat="1" applyFont="1" applyFill="1"/>
    <xf numFmtId="41" fontId="11" fillId="9" borderId="0" xfId="14" applyFont="1" applyFill="1"/>
    <xf numFmtId="174" fontId="11" fillId="9" borderId="0" xfId="0" applyNumberFormat="1" applyFont="1" applyFill="1"/>
    <xf numFmtId="168" fontId="21" fillId="9" borderId="1" xfId="0" applyNumberFormat="1" applyFont="1" applyFill="1" applyBorder="1"/>
    <xf numFmtId="0" fontId="1" fillId="9" borderId="7" xfId="0" applyFont="1" applyFill="1" applyBorder="1" applyAlignment="1" applyProtection="1">
      <alignment vertical="center"/>
      <protection locked="0"/>
    </xf>
    <xf numFmtId="0" fontId="21" fillId="5" borderId="1" xfId="0" applyFont="1" applyFill="1" applyBorder="1" applyAlignment="1">
      <alignment vertical="center"/>
    </xf>
    <xf numFmtId="3" fontId="27" fillId="11" borderId="1" xfId="2" applyNumberFormat="1" applyFont="1" applyFill="1" applyBorder="1" applyAlignment="1" applyProtection="1">
      <alignment horizontal="right" vertical="center" wrapText="1"/>
    </xf>
    <xf numFmtId="3" fontId="21" fillId="5" borderId="1" xfId="14" applyNumberFormat="1" applyFont="1" applyFill="1" applyBorder="1" applyAlignment="1" applyProtection="1">
      <alignment horizontal="right" vertical="center"/>
      <protection locked="0"/>
    </xf>
    <xf numFmtId="3" fontId="3" fillId="9" borderId="1" xfId="14" applyNumberFormat="1" applyFont="1" applyFill="1" applyBorder="1" applyAlignment="1" applyProtection="1">
      <alignment horizontal="right" vertical="center"/>
    </xf>
    <xf numFmtId="3" fontId="2" fillId="2" borderId="1" xfId="0" applyNumberFormat="1" applyFont="1" applyFill="1" applyBorder="1" applyAlignment="1">
      <alignment vertical="center"/>
    </xf>
    <xf numFmtId="3" fontId="2" fillId="2" borderId="1" xfId="0" applyNumberFormat="1" applyFont="1" applyFill="1" applyBorder="1" applyAlignment="1" applyProtection="1">
      <alignment horizontal="center"/>
      <protection locked="0"/>
    </xf>
    <xf numFmtId="3" fontId="31" fillId="2" borderId="1" xfId="0" applyNumberFormat="1" applyFont="1" applyFill="1" applyBorder="1" applyAlignment="1" applyProtection="1">
      <alignment horizontal="center"/>
      <protection locked="0"/>
    </xf>
    <xf numFmtId="3" fontId="1" fillId="0" borderId="1" xfId="14" applyNumberFormat="1" applyFont="1" applyBorder="1" applyAlignment="1">
      <alignment horizontal="center" vertical="center" wrapText="1"/>
    </xf>
    <xf numFmtId="3" fontId="2" fillId="2" borderId="1" xfId="0" applyNumberFormat="1" applyFont="1" applyFill="1" applyBorder="1" applyAlignment="1" applyProtection="1">
      <alignment vertical="center" wrapText="1"/>
      <protection locked="0"/>
    </xf>
    <xf numFmtId="3" fontId="21" fillId="5" borderId="1" xfId="0" applyNumberFormat="1" applyFont="1" applyFill="1" applyBorder="1" applyAlignment="1" applyProtection="1">
      <alignment vertical="center"/>
      <protection locked="0"/>
    </xf>
    <xf numFmtId="3" fontId="3" fillId="0" borderId="1" xfId="14" applyNumberFormat="1" applyFont="1" applyFill="1" applyBorder="1" applyAlignment="1" applyProtection="1">
      <alignment horizontal="right" vertical="center"/>
      <protection locked="0"/>
    </xf>
    <xf numFmtId="3" fontId="1" fillId="0" borderId="1" xfId="0" applyNumberFormat="1" applyFont="1" applyBorder="1" applyAlignment="1" applyProtection="1">
      <alignment vertical="center"/>
      <protection locked="0"/>
    </xf>
    <xf numFmtId="3" fontId="1" fillId="9" borderId="1" xfId="0" applyNumberFormat="1" applyFont="1" applyFill="1" applyBorder="1" applyAlignment="1" applyProtection="1">
      <alignment vertical="center"/>
      <protection locked="0"/>
    </xf>
    <xf numFmtId="3" fontId="1" fillId="9" borderId="1" xfId="0" applyNumberFormat="1" applyFont="1" applyFill="1" applyBorder="1" applyAlignment="1" applyProtection="1">
      <alignment horizontal="right" vertical="center"/>
      <protection locked="0"/>
    </xf>
    <xf numFmtId="41" fontId="1" fillId="9" borderId="1" xfId="14" applyFont="1" applyFill="1" applyBorder="1" applyAlignment="1" applyProtection="1">
      <alignment vertical="center"/>
      <protection locked="0"/>
    </xf>
    <xf numFmtId="41" fontId="1" fillId="9" borderId="1" xfId="14" applyFont="1" applyFill="1" applyBorder="1" applyAlignment="1" applyProtection="1">
      <alignment horizontal="center" vertical="center"/>
      <protection locked="0"/>
    </xf>
    <xf numFmtId="0" fontId="1" fillId="9" borderId="1" xfId="0" applyFont="1" applyFill="1" applyBorder="1" applyAlignment="1" applyProtection="1">
      <alignment vertical="center"/>
      <protection locked="0"/>
    </xf>
    <xf numFmtId="41" fontId="1" fillId="9" borderId="1" xfId="14" applyFont="1" applyFill="1" applyBorder="1" applyAlignment="1" applyProtection="1">
      <alignment horizontal="left" vertical="center"/>
      <protection locked="0"/>
    </xf>
    <xf numFmtId="3" fontId="21" fillId="5" borderId="1" xfId="0" applyNumberFormat="1" applyFont="1" applyFill="1" applyBorder="1" applyAlignment="1" applyProtection="1">
      <alignment horizontal="right" vertical="center"/>
      <protection locked="0"/>
    </xf>
    <xf numFmtId="0" fontId="4" fillId="7" borderId="1" xfId="0" applyFont="1" applyFill="1" applyBorder="1" applyAlignment="1">
      <alignment horizontal="center" vertical="center"/>
    </xf>
    <xf numFmtId="172" fontId="4" fillId="7" borderId="1" xfId="7" applyNumberFormat="1" applyFont="1" applyFill="1" applyBorder="1" applyAlignment="1" applyProtection="1">
      <alignment horizontal="center" vertical="center"/>
    </xf>
    <xf numFmtId="3" fontId="4" fillId="6" borderId="1" xfId="14" applyNumberFormat="1" applyFont="1" applyFill="1" applyBorder="1" applyAlignment="1">
      <alignment horizontal="center" vertical="center"/>
    </xf>
    <xf numFmtId="0" fontId="4" fillId="6" borderId="1" xfId="0" applyFont="1" applyFill="1" applyBorder="1" applyAlignment="1">
      <alignment horizontal="center" vertical="center"/>
    </xf>
    <xf numFmtId="3" fontId="31" fillId="7" borderId="1" xfId="0" applyNumberFormat="1" applyFont="1" applyFill="1" applyBorder="1" applyAlignment="1">
      <alignment horizontal="center" vertical="center" wrapText="1"/>
    </xf>
    <xf numFmtId="172" fontId="31" fillId="7" borderId="1" xfId="7" applyNumberFormat="1" applyFont="1" applyFill="1" applyBorder="1" applyAlignment="1">
      <alignment horizontal="center" vertical="center" wrapText="1"/>
    </xf>
    <xf numFmtId="3" fontId="31" fillId="6" borderId="1" xfId="0" applyNumberFormat="1" applyFont="1" applyFill="1" applyBorder="1" applyAlignment="1">
      <alignment horizontal="center" vertical="center" wrapText="1"/>
    </xf>
    <xf numFmtId="172" fontId="31" fillId="6" borderId="1" xfId="7" applyNumberFormat="1" applyFont="1" applyFill="1" applyBorder="1" applyAlignment="1">
      <alignment horizontal="center" vertical="center" wrapText="1"/>
    </xf>
    <xf numFmtId="168" fontId="27" fillId="11" borderId="1" xfId="2" applyNumberFormat="1" applyFont="1" applyFill="1" applyBorder="1" applyAlignment="1" applyProtection="1">
      <alignment horizontal="center" vertical="center"/>
    </xf>
    <xf numFmtId="168" fontId="27" fillId="11" borderId="1" xfId="2" applyNumberFormat="1" applyFont="1" applyFill="1" applyBorder="1" applyAlignment="1" applyProtection="1">
      <alignment vertical="center"/>
    </xf>
    <xf numFmtId="0" fontId="27" fillId="11" borderId="1" xfId="2" applyFont="1" applyFill="1" applyBorder="1" applyAlignment="1" applyProtection="1">
      <alignment horizontal="center" vertical="center"/>
    </xf>
    <xf numFmtId="0" fontId="3" fillId="9" borderId="1" xfId="0" applyFont="1" applyFill="1" applyBorder="1" applyAlignment="1">
      <alignment vertical="center"/>
    </xf>
    <xf numFmtId="0" fontId="49" fillId="9" borderId="0" xfId="0" applyFont="1" applyFill="1" applyAlignment="1">
      <alignment horizontal="center"/>
    </xf>
    <xf numFmtId="0" fontId="50" fillId="15" borderId="1" xfId="0" applyFont="1" applyFill="1" applyBorder="1" applyAlignment="1">
      <alignment horizontal="center" vertical="center" wrapText="1"/>
    </xf>
    <xf numFmtId="41" fontId="50" fillId="15" borderId="1" xfId="14" applyFont="1" applyFill="1" applyBorder="1" applyAlignment="1">
      <alignment horizontal="center" vertical="center" wrapText="1"/>
    </xf>
    <xf numFmtId="41" fontId="49" fillId="9" borderId="0" xfId="14" applyFont="1" applyFill="1" applyAlignment="1">
      <alignment horizontal="center"/>
    </xf>
    <xf numFmtId="0" fontId="2" fillId="9" borderId="0" xfId="0" applyFont="1" applyFill="1" applyAlignment="1" applyProtection="1">
      <alignment horizontal="center" vertical="center"/>
      <protection locked="0"/>
    </xf>
    <xf numFmtId="0" fontId="15" fillId="10" borderId="1" xfId="1" applyFont="1" applyFill="1" applyBorder="1" applyAlignment="1">
      <alignment horizontal="center" vertical="center"/>
    </xf>
    <xf numFmtId="167" fontId="27" fillId="11" borderId="1" xfId="2" applyNumberFormat="1" applyFont="1" applyFill="1" applyBorder="1" applyAlignment="1" applyProtection="1">
      <alignment horizontal="center" vertical="center"/>
    </xf>
    <xf numFmtId="167" fontId="17" fillId="9" borderId="1" xfId="0" applyNumberFormat="1" applyFont="1" applyFill="1" applyBorder="1" applyAlignment="1">
      <alignment horizontal="center" vertical="center" wrapText="1"/>
    </xf>
    <xf numFmtId="0" fontId="1" fillId="0" borderId="0" xfId="0" applyFont="1" applyAlignment="1" applyProtection="1">
      <alignment horizontal="center"/>
      <protection locked="0"/>
    </xf>
    <xf numFmtId="167" fontId="1" fillId="0" borderId="0" xfId="0" applyNumberFormat="1" applyFont="1" applyAlignment="1" applyProtection="1">
      <alignment horizontal="center" vertical="center"/>
      <protection locked="0"/>
    </xf>
    <xf numFmtId="3" fontId="3" fillId="5" borderId="1" xfId="0" applyNumberFormat="1" applyFont="1" applyFill="1" applyBorder="1" applyAlignment="1">
      <alignment horizontal="right" vertical="center"/>
    </xf>
    <xf numFmtId="3" fontId="3" fillId="5" borderId="1" xfId="0" applyNumberFormat="1" applyFont="1" applyFill="1" applyBorder="1" applyAlignment="1">
      <alignment vertical="center"/>
    </xf>
    <xf numFmtId="3" fontId="3" fillId="5" borderId="1" xfId="14" applyNumberFormat="1" applyFont="1" applyFill="1" applyBorder="1" applyAlignment="1" applyProtection="1">
      <alignment horizontal="right" vertical="center"/>
      <protection locked="0"/>
    </xf>
    <xf numFmtId="168" fontId="2" fillId="5" borderId="1" xfId="0" applyNumberFormat="1" applyFont="1" applyFill="1" applyBorder="1" applyAlignment="1">
      <alignment horizontal="right" vertical="center" wrapText="1"/>
    </xf>
    <xf numFmtId="0" fontId="21" fillId="5" borderId="1" xfId="0" applyFont="1" applyFill="1" applyBorder="1" applyAlignment="1">
      <alignment horizontal="left" vertical="center"/>
    </xf>
    <xf numFmtId="41" fontId="21" fillId="5" borderId="1" xfId="14" applyFont="1" applyFill="1" applyBorder="1" applyAlignment="1" applyProtection="1">
      <protection locked="0"/>
    </xf>
    <xf numFmtId="3" fontId="2" fillId="5"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horizontal="right" vertical="center"/>
      <protection locked="0"/>
    </xf>
    <xf numFmtId="3" fontId="3" fillId="9" borderId="1" xfId="0" applyNumberFormat="1" applyFont="1" applyFill="1" applyBorder="1" applyAlignment="1" applyProtection="1">
      <alignment horizontal="right" vertical="center"/>
      <protection locked="0"/>
    </xf>
    <xf numFmtId="3" fontId="4" fillId="2" borderId="1" xfId="0" applyNumberFormat="1" applyFont="1" applyFill="1" applyBorder="1" applyAlignment="1" applyProtection="1">
      <alignment horizontal="center" vertical="center"/>
      <protection locked="0"/>
    </xf>
    <xf numFmtId="172" fontId="27" fillId="11" borderId="1" xfId="7" applyNumberFormat="1" applyFont="1" applyFill="1" applyBorder="1" applyAlignment="1" applyProtection="1">
      <alignment horizontal="center" vertical="center"/>
    </xf>
    <xf numFmtId="3" fontId="2" fillId="2" borderId="1" xfId="14" applyNumberFormat="1" applyFont="1" applyFill="1" applyBorder="1" applyAlignment="1" applyProtection="1">
      <alignment vertical="center"/>
      <protection locked="0"/>
    </xf>
    <xf numFmtId="3" fontId="2" fillId="2" borderId="1" xfId="0" applyNumberFormat="1" applyFont="1" applyFill="1" applyBorder="1" applyAlignment="1" applyProtection="1">
      <alignment horizontal="right" vertical="center"/>
      <protection locked="0"/>
    </xf>
    <xf numFmtId="3" fontId="2" fillId="2" borderId="1" xfId="0" applyNumberFormat="1" applyFont="1" applyFill="1" applyBorder="1" applyAlignment="1" applyProtection="1">
      <alignment vertical="center"/>
      <protection locked="0"/>
    </xf>
    <xf numFmtId="3" fontId="21" fillId="0" borderId="1" xfId="14" applyNumberFormat="1" applyFont="1" applyFill="1" applyBorder="1" applyAlignment="1" applyProtection="1">
      <alignment vertical="center"/>
    </xf>
    <xf numFmtId="3" fontId="3" fillId="0" borderId="1" xfId="14" applyNumberFormat="1" applyFont="1" applyFill="1" applyBorder="1" applyAlignment="1" applyProtection="1">
      <alignment vertical="center"/>
    </xf>
    <xf numFmtId="3" fontId="3" fillId="0" borderId="1" xfId="0" applyNumberFormat="1" applyFont="1" applyBorder="1" applyAlignment="1" applyProtection="1">
      <alignment horizontal="right" vertical="center"/>
      <protection locked="0"/>
    </xf>
    <xf numFmtId="3" fontId="2" fillId="5" borderId="1" xfId="0" applyNumberFormat="1" applyFont="1" applyFill="1" applyBorder="1" applyAlignment="1" applyProtection="1">
      <alignment horizontal="right" vertical="center"/>
      <protection locked="0"/>
    </xf>
    <xf numFmtId="3" fontId="1" fillId="0" borderId="1" xfId="0" applyNumberFormat="1" applyFont="1" applyBorder="1" applyAlignment="1" applyProtection="1">
      <alignment horizontal="right" vertical="center"/>
      <protection locked="0"/>
    </xf>
    <xf numFmtId="41" fontId="2" fillId="5" borderId="1" xfId="14" applyFont="1" applyFill="1" applyBorder="1" applyAlignment="1" applyProtection="1">
      <alignment vertical="center"/>
      <protection locked="0"/>
    </xf>
    <xf numFmtId="3" fontId="2" fillId="0" borderId="1" xfId="0" applyNumberFormat="1" applyFont="1" applyBorder="1" applyAlignment="1" applyProtection="1">
      <alignment vertical="center"/>
      <protection locked="0"/>
    </xf>
    <xf numFmtId="3" fontId="3" fillId="0" borderId="1" xfId="16" applyNumberFormat="1" applyFont="1" applyFill="1" applyBorder="1" applyAlignment="1" applyProtection="1">
      <alignment horizontal="right" vertical="center"/>
      <protection locked="0"/>
    </xf>
    <xf numFmtId="3" fontId="3" fillId="0" borderId="1" xfId="16" applyNumberFormat="1" applyFont="1" applyFill="1" applyBorder="1" applyAlignment="1" applyProtection="1">
      <alignment vertical="center"/>
      <protection locked="0"/>
    </xf>
    <xf numFmtId="0" fontId="15" fillId="10" borderId="1" xfId="1" applyFont="1" applyFill="1" applyBorder="1" applyAlignment="1">
      <alignment vertical="center"/>
    </xf>
    <xf numFmtId="10" fontId="4" fillId="7" borderId="1" xfId="7" applyNumberFormat="1" applyFont="1" applyFill="1" applyBorder="1" applyAlignment="1" applyProtection="1">
      <alignment horizontal="center" vertical="center"/>
    </xf>
    <xf numFmtId="167" fontId="27" fillId="11" borderId="1" xfId="2" applyNumberFormat="1" applyFont="1" applyFill="1" applyBorder="1" applyAlignment="1" applyProtection="1">
      <alignment vertical="center"/>
    </xf>
    <xf numFmtId="168" fontId="26" fillId="11" borderId="1" xfId="2" applyNumberFormat="1" applyFont="1" applyFill="1" applyBorder="1" applyAlignment="1" applyProtection="1">
      <alignment vertical="center"/>
    </xf>
    <xf numFmtId="3" fontId="27" fillId="11" borderId="1" xfId="2" applyNumberFormat="1" applyFont="1" applyFill="1" applyBorder="1" applyAlignment="1" applyProtection="1">
      <alignment vertical="center"/>
    </xf>
    <xf numFmtId="3" fontId="27" fillId="11" borderId="1" xfId="14" applyNumberFormat="1" applyFont="1" applyFill="1" applyBorder="1" applyAlignment="1" applyProtection="1">
      <alignment horizontal="right" vertical="center"/>
    </xf>
    <xf numFmtId="41" fontId="27" fillId="11" borderId="1" xfId="14" applyFont="1" applyFill="1" applyBorder="1" applyAlignment="1" applyProtection="1">
      <alignment horizontal="center" vertical="center"/>
    </xf>
    <xf numFmtId="10" fontId="27" fillId="11" borderId="1" xfId="7" applyNumberFormat="1" applyFont="1" applyFill="1" applyBorder="1" applyAlignment="1" applyProtection="1">
      <alignment horizontal="center" vertical="center"/>
    </xf>
    <xf numFmtId="3" fontId="27" fillId="11" borderId="1" xfId="2" applyNumberFormat="1" applyFont="1" applyFill="1" applyBorder="1" applyAlignment="1" applyProtection="1">
      <alignment horizontal="center" vertical="center"/>
    </xf>
    <xf numFmtId="10" fontId="21" fillId="5" borderId="1" xfId="7" applyNumberFormat="1" applyFont="1" applyFill="1" applyBorder="1" applyAlignment="1" applyProtection="1">
      <alignment horizontal="center" vertical="center" wrapText="1"/>
    </xf>
    <xf numFmtId="0" fontId="3" fillId="9" borderId="1" xfId="0" applyFont="1" applyFill="1" applyBorder="1" applyAlignment="1">
      <alignment horizontal="left" vertical="center" wrapText="1"/>
    </xf>
    <xf numFmtId="10" fontId="3" fillId="9" borderId="1" xfId="7" applyNumberFormat="1" applyFont="1" applyFill="1" applyBorder="1" applyAlignment="1" applyProtection="1">
      <alignment horizontal="center" vertical="center" wrapText="1"/>
    </xf>
    <xf numFmtId="10" fontId="21" fillId="9" borderId="1" xfId="7" applyNumberFormat="1" applyFont="1" applyFill="1" applyBorder="1" applyAlignment="1" applyProtection="1">
      <alignment horizontal="center" vertical="center" wrapText="1"/>
    </xf>
    <xf numFmtId="0" fontId="3" fillId="0" borderId="1" xfId="0" applyFont="1" applyBorder="1" applyAlignment="1">
      <alignment horizontal="left" vertical="center"/>
    </xf>
    <xf numFmtId="10" fontId="21" fillId="0" borderId="1" xfId="7" applyNumberFormat="1" applyFont="1" applyFill="1" applyBorder="1" applyAlignment="1" applyProtection="1">
      <alignment horizontal="center" vertical="center" wrapText="1"/>
    </xf>
    <xf numFmtId="171" fontId="2" fillId="5" borderId="1" xfId="8" applyNumberFormat="1" applyFont="1" applyFill="1" applyBorder="1" applyAlignment="1" applyProtection="1">
      <alignment vertical="center"/>
      <protection locked="0"/>
    </xf>
    <xf numFmtId="3" fontId="1" fillId="0" borderId="0" xfId="0" applyNumberFormat="1" applyFont="1" applyAlignment="1" applyProtection="1">
      <alignment horizontal="center"/>
      <protection locked="0"/>
    </xf>
    <xf numFmtId="3" fontId="32" fillId="0" borderId="0" xfId="15" applyNumberFormat="1" applyFill="1" applyAlignment="1" applyProtection="1">
      <alignment horizontal="center"/>
      <protection locked="0"/>
    </xf>
    <xf numFmtId="3" fontId="3" fillId="9"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3" fontId="14" fillId="0" borderId="0" xfId="7" applyNumberFormat="1" applyFont="1" applyFill="1" applyAlignment="1" applyProtection="1">
      <alignment horizontal="center"/>
      <protection locked="0"/>
    </xf>
    <xf numFmtId="3" fontId="1" fillId="0" borderId="0" xfId="0" applyNumberFormat="1" applyFont="1" applyAlignment="1" applyProtection="1">
      <alignment horizontal="center" vertical="center"/>
      <protection locked="0"/>
    </xf>
    <xf numFmtId="3" fontId="3" fillId="0" borderId="1" xfId="0" applyNumberFormat="1" applyFont="1" applyBorder="1" applyAlignment="1">
      <alignment horizontal="center" vertical="center" wrapText="1"/>
    </xf>
    <xf numFmtId="3" fontId="3" fillId="0" borderId="1" xfId="16" applyNumberFormat="1" applyFont="1" applyFill="1" applyBorder="1" applyAlignment="1" applyProtection="1">
      <alignment horizontal="center" vertical="center"/>
    </xf>
    <xf numFmtId="0" fontId="56" fillId="0" borderId="0" xfId="0" applyFont="1" applyAlignment="1" applyProtection="1">
      <alignment vertical="center"/>
      <protection locked="0"/>
    </xf>
    <xf numFmtId="168" fontId="3" fillId="0" borderId="1" xfId="0" applyNumberFormat="1" applyFont="1" applyBorder="1" applyAlignment="1">
      <alignment horizontal="right" vertical="center" wrapText="1"/>
    </xf>
    <xf numFmtId="3" fontId="3" fillId="0" borderId="1" xfId="0" applyNumberFormat="1" applyFont="1" applyBorder="1" applyAlignment="1" applyProtection="1">
      <alignment vertical="center"/>
      <protection locked="0"/>
    </xf>
    <xf numFmtId="168" fontId="3" fillId="0" borderId="1" xfId="0" quotePrefix="1" applyNumberFormat="1" applyFont="1" applyBorder="1" applyAlignment="1">
      <alignment horizontal="right" vertical="center" wrapText="1"/>
    </xf>
    <xf numFmtId="3" fontId="1" fillId="0" borderId="1" xfId="14" applyNumberFormat="1" applyFont="1" applyFill="1" applyBorder="1" applyAlignment="1" applyProtection="1">
      <alignment vertical="center" wrapText="1"/>
    </xf>
    <xf numFmtId="3" fontId="3" fillId="0" borderId="1" xfId="0" applyNumberFormat="1" applyFont="1" applyBorder="1" applyAlignment="1">
      <alignment vertical="center" wrapText="1"/>
    </xf>
    <xf numFmtId="3" fontId="1" fillId="0" borderId="1" xfId="0" quotePrefix="1" applyNumberFormat="1" applyFont="1" applyBorder="1" applyAlignment="1" applyProtection="1">
      <alignment vertical="center"/>
      <protection locked="0"/>
    </xf>
    <xf numFmtId="167" fontId="36" fillId="0" borderId="1" xfId="0" applyNumberFormat="1" applyFont="1" applyBorder="1" applyAlignment="1">
      <alignment horizontal="left" vertical="center" wrapText="1"/>
    </xf>
    <xf numFmtId="168" fontId="36" fillId="0" borderId="1" xfId="0" applyNumberFormat="1" applyFont="1" applyBorder="1" applyAlignment="1">
      <alignment vertical="center" wrapText="1"/>
    </xf>
    <xf numFmtId="0" fontId="50" fillId="23" borderId="0" xfId="0" applyFont="1" applyFill="1"/>
    <xf numFmtId="0" fontId="51" fillId="23" borderId="0" xfId="0" applyFont="1" applyFill="1" applyAlignment="1">
      <alignment horizontal="center" vertical="center" wrapText="1"/>
    </xf>
    <xf numFmtId="41" fontId="57" fillId="0" borderId="0" xfId="14" applyFont="1" applyFill="1" applyBorder="1" applyAlignment="1" applyProtection="1">
      <alignment horizontal="center" vertical="center"/>
      <protection locked="0"/>
    </xf>
    <xf numFmtId="41" fontId="1" fillId="0" borderId="0" xfId="14" applyFont="1" applyProtection="1">
      <protection locked="0"/>
    </xf>
    <xf numFmtId="41" fontId="14" fillId="0" borderId="0" xfId="14" applyFont="1" applyFill="1" applyProtection="1">
      <protection locked="0"/>
    </xf>
    <xf numFmtId="41" fontId="32" fillId="0" borderId="0" xfId="14" applyFont="1" applyFill="1" applyProtection="1">
      <protection locked="0"/>
    </xf>
    <xf numFmtId="41" fontId="1" fillId="0" borderId="0" xfId="14" applyFont="1" applyAlignment="1" applyProtection="1">
      <alignment horizontal="right"/>
      <protection locked="0"/>
    </xf>
    <xf numFmtId="0" fontId="55" fillId="0" borderId="0" xfId="0" applyFont="1" applyAlignment="1" applyProtection="1">
      <alignment horizontal="left"/>
      <protection locked="0"/>
    </xf>
    <xf numFmtId="0" fontId="56" fillId="0" borderId="0" xfId="0" applyFont="1" applyAlignment="1" applyProtection="1">
      <alignment horizontal="left" vertical="center"/>
      <protection locked="0"/>
    </xf>
    <xf numFmtId="41" fontId="57" fillId="0" borderId="0" xfId="14" applyFont="1" applyFill="1" applyBorder="1" applyAlignment="1" applyProtection="1">
      <alignment horizontal="left" vertical="center"/>
      <protection locked="0"/>
    </xf>
    <xf numFmtId="0" fontId="55" fillId="0" borderId="0" xfId="0" applyFont="1" applyAlignment="1" applyProtection="1">
      <alignment horizontal="left" vertical="top"/>
      <protection locked="0"/>
    </xf>
    <xf numFmtId="0" fontId="47" fillId="0" borderId="0" xfId="0" applyFont="1" applyAlignment="1">
      <alignment horizontal="left" vertical="top"/>
    </xf>
    <xf numFmtId="0" fontId="56" fillId="0" borderId="0" xfId="0" applyFont="1" applyAlignment="1" applyProtection="1">
      <alignment horizontal="left" vertical="top"/>
      <protection locked="0"/>
    </xf>
    <xf numFmtId="41" fontId="57" fillId="0" borderId="0" xfId="14" applyFont="1" applyFill="1" applyBorder="1" applyAlignment="1" applyProtection="1">
      <alignment horizontal="left" vertical="top"/>
      <protection locked="0"/>
    </xf>
    <xf numFmtId="0" fontId="3" fillId="0" borderId="1" xfId="0" applyFont="1" applyBorder="1" applyAlignment="1">
      <alignment vertical="center"/>
    </xf>
    <xf numFmtId="3" fontId="4" fillId="6" borderId="1" xfId="0" applyNumberFormat="1" applyFont="1" applyFill="1" applyBorder="1" applyAlignment="1">
      <alignment horizontal="center" vertical="center"/>
    </xf>
    <xf numFmtId="0" fontId="16" fillId="11" borderId="1" xfId="2" applyFont="1" applyFill="1" applyBorder="1" applyAlignment="1" applyProtection="1">
      <alignment vertical="center"/>
    </xf>
    <xf numFmtId="167" fontId="16" fillId="11" borderId="1" xfId="2" applyNumberFormat="1" applyFont="1" applyFill="1" applyBorder="1" applyAlignment="1" applyProtection="1">
      <alignment vertical="center"/>
    </xf>
    <xf numFmtId="168" fontId="16" fillId="11" borderId="1" xfId="2" applyNumberFormat="1" applyFont="1" applyFill="1" applyBorder="1" applyAlignment="1" applyProtection="1">
      <alignment horizontal="center" vertical="center"/>
    </xf>
    <xf numFmtId="168" fontId="16" fillId="11" borderId="1" xfId="2" applyNumberFormat="1" applyFont="1" applyFill="1" applyBorder="1" applyAlignment="1" applyProtection="1">
      <alignment vertical="center"/>
    </xf>
    <xf numFmtId="3" fontId="16" fillId="11" borderId="1" xfId="2" applyNumberFormat="1" applyFont="1" applyFill="1" applyBorder="1" applyAlignment="1" applyProtection="1">
      <alignment vertical="center"/>
    </xf>
    <xf numFmtId="172" fontId="16" fillId="11" borderId="1" xfId="7" applyNumberFormat="1" applyFont="1" applyFill="1" applyBorder="1" applyAlignment="1" applyProtection="1">
      <alignment horizontal="center" vertical="center"/>
    </xf>
    <xf numFmtId="10" fontId="16" fillId="11" borderId="1" xfId="7" applyNumberFormat="1" applyFont="1" applyFill="1" applyBorder="1" applyAlignment="1">
      <alignment horizontal="center" vertical="center"/>
    </xf>
    <xf numFmtId="10" fontId="16" fillId="11" borderId="1" xfId="7" applyNumberFormat="1" applyFont="1" applyFill="1" applyBorder="1" applyAlignment="1" applyProtection="1">
      <alignment horizontal="center" vertical="center"/>
    </xf>
    <xf numFmtId="41" fontId="2" fillId="2" borderId="1" xfId="14" applyFont="1" applyFill="1" applyBorder="1" applyAlignment="1">
      <alignment horizontal="right" vertical="center"/>
    </xf>
    <xf numFmtId="3" fontId="4" fillId="2" borderId="1" xfId="0" applyNumberFormat="1" applyFont="1" applyFill="1" applyBorder="1" applyAlignment="1">
      <alignment vertical="center"/>
    </xf>
    <xf numFmtId="0" fontId="2" fillId="5" borderId="1" xfId="0" applyFont="1" applyFill="1" applyBorder="1" applyAlignment="1">
      <alignment vertical="top" wrapText="1"/>
    </xf>
    <xf numFmtId="172" fontId="2" fillId="5" borderId="1" xfId="7" applyNumberFormat="1" applyFont="1" applyFill="1" applyBorder="1" applyAlignment="1" applyProtection="1">
      <alignment horizontal="center" vertical="top" wrapText="1"/>
    </xf>
    <xf numFmtId="10" fontId="2" fillId="5" borderId="1" xfId="7" applyNumberFormat="1" applyFont="1" applyFill="1" applyBorder="1" applyAlignment="1" applyProtection="1">
      <alignment horizontal="center" vertical="top" wrapText="1"/>
    </xf>
    <xf numFmtId="1" fontId="2" fillId="5" borderId="1" xfId="14" applyNumberFormat="1" applyFont="1" applyFill="1" applyBorder="1" applyAlignment="1">
      <alignment horizontal="right"/>
    </xf>
    <xf numFmtId="3" fontId="2" fillId="5" borderId="1" xfId="14" applyNumberFormat="1" applyFont="1" applyFill="1" applyBorder="1" applyAlignment="1">
      <alignment horizontal="right" vertical="top" wrapText="1"/>
    </xf>
    <xf numFmtId="0" fontId="1" fillId="0" borderId="1" xfId="0" applyFont="1" applyBorder="1" applyAlignment="1">
      <alignment vertical="top" wrapText="1"/>
    </xf>
    <xf numFmtId="3" fontId="2" fillId="0" borderId="1" xfId="0" applyNumberFormat="1" applyFont="1" applyBorder="1" applyAlignment="1">
      <alignment horizontal="right" vertical="top" wrapText="1"/>
    </xf>
    <xf numFmtId="3" fontId="1" fillId="0" borderId="1" xfId="14" applyNumberFormat="1" applyFont="1" applyFill="1" applyBorder="1"/>
    <xf numFmtId="1" fontId="1" fillId="0" borderId="1" xfId="14" applyNumberFormat="1" applyFont="1" applyFill="1" applyBorder="1" applyAlignment="1">
      <alignment horizontal="right" vertical="top" wrapText="1"/>
    </xf>
    <xf numFmtId="3" fontId="1" fillId="0" borderId="1" xfId="0" applyNumberFormat="1" applyFont="1" applyBorder="1"/>
    <xf numFmtId="0" fontId="1" fillId="0" borderId="1" xfId="0" applyFont="1" applyBorder="1" applyAlignment="1">
      <alignment horizontal="center" wrapText="1"/>
    </xf>
    <xf numFmtId="172" fontId="2" fillId="5" borderId="1" xfId="7" applyNumberFormat="1" applyFont="1" applyFill="1" applyBorder="1" applyAlignment="1" applyProtection="1">
      <alignment horizontal="center" vertical="center" wrapText="1"/>
    </xf>
    <xf numFmtId="41" fontId="2" fillId="5" borderId="1" xfId="14" applyFont="1" applyFill="1" applyBorder="1" applyAlignment="1">
      <alignment horizontal="right"/>
    </xf>
    <xf numFmtId="41" fontId="1" fillId="0" borderId="1" xfId="14" applyFont="1" applyFill="1" applyBorder="1" applyAlignment="1">
      <alignment horizontal="right"/>
    </xf>
    <xf numFmtId="1" fontId="2" fillId="5" borderId="1" xfId="14" applyNumberFormat="1" applyFont="1" applyFill="1" applyBorder="1" applyAlignment="1">
      <alignment horizontal="right" vertical="center"/>
    </xf>
    <xf numFmtId="1" fontId="2" fillId="5" borderId="1" xfId="14" applyNumberFormat="1" applyFont="1" applyFill="1" applyBorder="1" applyAlignment="1">
      <alignment horizontal="right" vertical="center" wrapText="1"/>
    </xf>
    <xf numFmtId="1" fontId="1" fillId="0" borderId="1" xfId="14" applyNumberFormat="1" applyFont="1" applyFill="1" applyBorder="1" applyAlignment="1">
      <alignment horizontal="right" vertical="center"/>
    </xf>
    <xf numFmtId="0" fontId="21" fillId="0" borderId="1" xfId="0" applyFont="1" applyBorder="1" applyAlignment="1">
      <alignment horizontal="left" vertical="top" wrapText="1"/>
    </xf>
    <xf numFmtId="0" fontId="3" fillId="0" borderId="1" xfId="0" applyFont="1" applyBorder="1" applyAlignment="1">
      <alignment vertical="top" wrapText="1"/>
    </xf>
    <xf numFmtId="1" fontId="3" fillId="0" borderId="1" xfId="14" applyNumberFormat="1" applyFont="1" applyFill="1" applyBorder="1" applyAlignment="1">
      <alignment horizontal="right" vertical="center"/>
    </xf>
    <xf numFmtId="0" fontId="22" fillId="0" borderId="1" xfId="0" applyFont="1" applyBorder="1" applyAlignment="1">
      <alignment horizontal="left" vertical="center" wrapText="1"/>
    </xf>
    <xf numFmtId="3" fontId="3" fillId="0" borderId="1" xfId="14" applyNumberFormat="1" applyFont="1" applyFill="1" applyBorder="1" applyAlignment="1" applyProtection="1">
      <alignment horizontal="right" vertical="top" wrapText="1"/>
    </xf>
    <xf numFmtId="1" fontId="1" fillId="0" borderId="1" xfId="14" applyNumberFormat="1" applyFont="1" applyFill="1" applyBorder="1" applyAlignment="1">
      <alignment horizontal="right"/>
    </xf>
    <xf numFmtId="0" fontId="21" fillId="5" borderId="1" xfId="0" applyFont="1" applyFill="1" applyBorder="1" applyAlignment="1">
      <alignment vertical="top" wrapText="1"/>
    </xf>
    <xf numFmtId="3" fontId="21" fillId="5" borderId="1" xfId="14" applyNumberFormat="1" applyFont="1" applyFill="1" applyBorder="1" applyAlignment="1" applyProtection="1">
      <alignment horizontal="right" vertical="top" wrapText="1"/>
    </xf>
    <xf numFmtId="41" fontId="21" fillId="5" borderId="1" xfId="14" applyFont="1" applyFill="1" applyBorder="1" applyAlignment="1">
      <alignment horizontal="right"/>
    </xf>
    <xf numFmtId="168" fontId="21" fillId="0" borderId="1" xfId="0" applyNumberFormat="1" applyFont="1" applyBorder="1" applyAlignment="1">
      <alignment vertical="top" wrapText="1"/>
    </xf>
    <xf numFmtId="168" fontId="21" fillId="0" borderId="1" xfId="0" applyNumberFormat="1" applyFont="1" applyBorder="1" applyAlignment="1">
      <alignment horizontal="center" vertical="top" wrapText="1"/>
    </xf>
    <xf numFmtId="0" fontId="21" fillId="0" borderId="1" xfId="0" applyFont="1" applyBorder="1" applyAlignment="1">
      <alignment vertical="top" wrapText="1"/>
    </xf>
    <xf numFmtId="3" fontId="21" fillId="0" borderId="1" xfId="0" applyNumberFormat="1" applyFont="1" applyBorder="1" applyAlignment="1">
      <alignment horizontal="right" vertical="top" wrapText="1"/>
    </xf>
    <xf numFmtId="41" fontId="21" fillId="0" borderId="1" xfId="14" applyFont="1" applyFill="1" applyBorder="1" applyAlignment="1">
      <alignment horizontal="right"/>
    </xf>
    <xf numFmtId="3" fontId="3" fillId="9" borderId="3" xfId="14" applyNumberFormat="1" applyFont="1" applyFill="1" applyBorder="1" applyAlignment="1" applyProtection="1">
      <alignment horizontal="center" vertical="center"/>
      <protection locked="0"/>
    </xf>
    <xf numFmtId="3" fontId="1" fillId="9" borderId="29" xfId="0" applyNumberFormat="1" applyFont="1" applyFill="1" applyBorder="1"/>
    <xf numFmtId="3" fontId="1" fillId="9" borderId="42" xfId="0" applyNumberFormat="1" applyFont="1" applyFill="1" applyBorder="1"/>
    <xf numFmtId="1" fontId="2" fillId="5" borderId="1" xfId="14" applyNumberFormat="1" applyFont="1" applyFill="1" applyBorder="1" applyAlignment="1" applyProtection="1">
      <alignment horizontal="right" vertical="top" wrapText="1"/>
    </xf>
    <xf numFmtId="0" fontId="2" fillId="0" borderId="0" xfId="0" applyFont="1"/>
    <xf numFmtId="49" fontId="21" fillId="0" borderId="1" xfId="0" applyNumberFormat="1" applyFont="1" applyBorder="1" applyAlignment="1">
      <alignment horizontal="left" vertical="center" wrapText="1"/>
    </xf>
    <xf numFmtId="168" fontId="21" fillId="0" borderId="1" xfId="0" applyNumberFormat="1" applyFont="1" applyBorder="1" applyAlignment="1">
      <alignment horizontal="left" vertical="center" wrapText="1"/>
    </xf>
    <xf numFmtId="0" fontId="3" fillId="0" borderId="1" xfId="0" applyFont="1" applyBorder="1" applyAlignment="1">
      <alignment horizontal="left" vertical="top"/>
    </xf>
    <xf numFmtId="172" fontId="3" fillId="0" borderId="1" xfId="7" applyNumberFormat="1" applyFont="1" applyFill="1" applyBorder="1" applyAlignment="1">
      <alignment horizontal="center" vertical="center" wrapText="1"/>
    </xf>
    <xf numFmtId="167" fontId="3" fillId="9" borderId="1" xfId="0" applyNumberFormat="1" applyFont="1" applyFill="1" applyBorder="1" applyAlignment="1">
      <alignment horizontal="center" vertical="center"/>
    </xf>
    <xf numFmtId="49" fontId="1" fillId="9" borderId="1" xfId="0" applyNumberFormat="1" applyFont="1" applyFill="1" applyBorder="1" applyAlignment="1">
      <alignment vertical="center" wrapText="1"/>
    </xf>
    <xf numFmtId="41" fontId="52" fillId="24" borderId="0" xfId="14" applyFont="1" applyFill="1" applyBorder="1" applyAlignment="1">
      <alignment vertical="center"/>
    </xf>
    <xf numFmtId="0" fontId="21" fillId="0" borderId="1" xfId="0" applyFont="1" applyBorder="1" applyAlignment="1">
      <alignment horizontal="left" vertical="center"/>
    </xf>
    <xf numFmtId="41" fontId="0" fillId="0" borderId="0" xfId="14" applyFont="1" applyFill="1"/>
    <xf numFmtId="41" fontId="2" fillId="0" borderId="0" xfId="14" applyFont="1" applyFill="1"/>
    <xf numFmtId="174" fontId="0" fillId="0" borderId="0" xfId="0" applyNumberFormat="1"/>
    <xf numFmtId="41" fontId="1" fillId="0" borderId="0" xfId="0" applyNumberFormat="1" applyFont="1"/>
    <xf numFmtId="174" fontId="1" fillId="0" borderId="0" xfId="0" applyNumberFormat="1" applyFont="1"/>
    <xf numFmtId="3" fontId="2" fillId="5" borderId="1" xfId="14" applyNumberFormat="1" applyFont="1" applyFill="1" applyBorder="1" applyAlignment="1">
      <alignment vertical="center" wrapText="1"/>
    </xf>
    <xf numFmtId="41" fontId="2" fillId="0" borderId="0" xfId="14" applyFont="1" applyFill="1" applyAlignment="1">
      <alignment horizontal="center" vertical="center" wrapText="1"/>
    </xf>
    <xf numFmtId="41" fontId="2" fillId="0" borderId="0" xfId="14" applyFont="1" applyFill="1" applyAlignment="1">
      <alignment horizontal="center" vertical="center"/>
    </xf>
    <xf numFmtId="41" fontId="2" fillId="0" borderId="0" xfId="14" applyFont="1" applyFill="1" applyAlignment="1">
      <alignment horizontal="right" vertical="center"/>
    </xf>
    <xf numFmtId="41" fontId="2" fillId="0" borderId="0" xfId="14" applyFont="1" applyFill="1" applyAlignment="1">
      <alignment horizontal="left" vertical="center"/>
    </xf>
    <xf numFmtId="168" fontId="13" fillId="5" borderId="1" xfId="0" applyNumberFormat="1" applyFont="1" applyFill="1" applyBorder="1" applyAlignment="1">
      <alignment vertical="center" wrapText="1"/>
    </xf>
    <xf numFmtId="1" fontId="4" fillId="7" borderId="1" xfId="14" applyNumberFormat="1" applyFont="1" applyFill="1" applyBorder="1" applyAlignment="1">
      <alignment horizontal="center" vertical="center"/>
    </xf>
    <xf numFmtId="10" fontId="31" fillId="7" borderId="1" xfId="7" applyNumberFormat="1" applyFont="1" applyFill="1" applyBorder="1" applyAlignment="1">
      <alignment horizontal="center" vertical="center" wrapText="1"/>
    </xf>
    <xf numFmtId="0" fontId="16" fillId="11" borderId="1" xfId="2" applyFont="1" applyFill="1" applyBorder="1" applyAlignment="1" applyProtection="1">
      <alignment horizontal="center" vertical="center"/>
    </xf>
    <xf numFmtId="167" fontId="16" fillId="11" borderId="1" xfId="2" applyNumberFormat="1" applyFont="1" applyFill="1" applyBorder="1" applyAlignment="1" applyProtection="1">
      <alignment horizontal="center" vertical="center"/>
    </xf>
    <xf numFmtId="3" fontId="16" fillId="11" borderId="1" xfId="14" applyNumberFormat="1" applyFont="1" applyFill="1" applyBorder="1" applyAlignment="1" applyProtection="1">
      <alignment vertical="center"/>
    </xf>
    <xf numFmtId="3" fontId="16" fillId="11" borderId="1" xfId="14" applyNumberFormat="1" applyFont="1" applyFill="1" applyBorder="1" applyAlignment="1" applyProtection="1">
      <alignment horizontal="right" vertical="center"/>
    </xf>
    <xf numFmtId="3" fontId="16" fillId="11" borderId="1" xfId="7" applyNumberFormat="1" applyFont="1" applyFill="1" applyBorder="1" applyAlignment="1" applyProtection="1">
      <alignment horizontal="right" vertical="center"/>
    </xf>
    <xf numFmtId="3" fontId="21" fillId="5" borderId="1" xfId="7" applyNumberFormat="1" applyFont="1" applyFill="1" applyBorder="1" applyAlignment="1">
      <alignment horizontal="right" vertical="center" wrapText="1"/>
    </xf>
    <xf numFmtId="3" fontId="1" fillId="0" borderId="1" xfId="7" applyNumberFormat="1" applyFont="1" applyFill="1" applyBorder="1" applyAlignment="1" applyProtection="1">
      <alignment horizontal="right" vertical="center" wrapText="1"/>
    </xf>
    <xf numFmtId="3" fontId="1" fillId="5" borderId="1" xfId="14" applyNumberFormat="1" applyFont="1" applyFill="1" applyBorder="1" applyAlignment="1" applyProtection="1">
      <alignment horizontal="right" vertical="center" wrapText="1"/>
    </xf>
    <xf numFmtId="3" fontId="1" fillId="0" borderId="1" xfId="0" applyNumberFormat="1" applyFont="1" applyBorder="1" applyAlignment="1">
      <alignment vertical="center" wrapText="1"/>
    </xf>
    <xf numFmtId="3" fontId="1" fillId="9" borderId="1" xfId="7" applyNumberFormat="1" applyFont="1" applyFill="1" applyBorder="1" applyAlignment="1" applyProtection="1">
      <alignment horizontal="right" vertical="center" wrapText="1"/>
    </xf>
    <xf numFmtId="3" fontId="2" fillId="5" borderId="1" xfId="7" applyNumberFormat="1" applyFont="1" applyFill="1" applyBorder="1" applyAlignment="1" applyProtection="1">
      <alignment horizontal="right" vertical="center" wrapText="1"/>
    </xf>
    <xf numFmtId="0" fontId="13" fillId="5" borderId="1" xfId="0" applyFont="1" applyFill="1" applyBorder="1" applyAlignment="1">
      <alignment horizontal="left" vertical="center"/>
    </xf>
    <xf numFmtId="3" fontId="2" fillId="9" borderId="1" xfId="0" applyNumberFormat="1" applyFont="1" applyFill="1" applyBorder="1" applyAlignment="1">
      <alignment vertical="center" wrapText="1"/>
    </xf>
    <xf numFmtId="0" fontId="12" fillId="0" borderId="1" xfId="0" applyFont="1" applyBorder="1" applyAlignment="1">
      <alignment vertical="center"/>
    </xf>
    <xf numFmtId="3" fontId="1" fillId="0" borderId="1" xfId="7" applyNumberFormat="1" applyFont="1" applyFill="1" applyBorder="1" applyAlignment="1" applyProtection="1">
      <alignment horizontal="right" vertical="center"/>
    </xf>
    <xf numFmtId="0" fontId="1" fillId="9" borderId="1" xfId="0" applyFont="1" applyFill="1" applyBorder="1" applyAlignment="1">
      <alignment horizontal="left" vertical="center"/>
    </xf>
    <xf numFmtId="0" fontId="31" fillId="7" borderId="1" xfId="0" applyFont="1" applyFill="1" applyBorder="1" applyAlignment="1">
      <alignment horizontal="center" vertical="center"/>
    </xf>
    <xf numFmtId="0" fontId="31" fillId="6" borderId="1" xfId="0" applyFont="1" applyFill="1" applyBorder="1" applyAlignment="1">
      <alignment horizontal="center" vertical="center"/>
    </xf>
    <xf numFmtId="172" fontId="31" fillId="6" borderId="1" xfId="7" applyNumberFormat="1" applyFont="1" applyFill="1" applyBorder="1" applyAlignment="1">
      <alignment horizontal="center" vertical="center"/>
    </xf>
    <xf numFmtId="3" fontId="2" fillId="9" borderId="1" xfId="7" applyNumberFormat="1" applyFont="1" applyFill="1" applyBorder="1" applyAlignment="1" applyProtection="1">
      <alignment horizontal="right" vertical="center" wrapText="1"/>
    </xf>
    <xf numFmtId="0" fontId="31" fillId="7" borderId="1" xfId="0" applyFont="1" applyFill="1" applyBorder="1" applyAlignment="1">
      <alignment horizontal="center"/>
    </xf>
    <xf numFmtId="172" fontId="31" fillId="7" borderId="1" xfId="7" applyNumberFormat="1" applyFont="1" applyFill="1" applyBorder="1" applyAlignment="1">
      <alignment horizontal="center" vertical="center"/>
    </xf>
    <xf numFmtId="41" fontId="31" fillId="7" borderId="1" xfId="14" applyFont="1" applyFill="1" applyBorder="1" applyAlignment="1" applyProtection="1">
      <alignment horizontal="center"/>
    </xf>
    <xf numFmtId="172" fontId="31" fillId="7" borderId="1" xfId="7" applyNumberFormat="1" applyFont="1" applyFill="1" applyBorder="1" applyAlignment="1" applyProtection="1">
      <alignment horizontal="center"/>
    </xf>
    <xf numFmtId="172" fontId="31" fillId="7" borderId="1" xfId="7" applyNumberFormat="1" applyFont="1" applyFill="1" applyBorder="1" applyAlignment="1">
      <alignment horizontal="center"/>
    </xf>
    <xf numFmtId="0" fontId="25" fillId="9" borderId="1" xfId="2" applyFont="1" applyFill="1" applyBorder="1" applyAlignment="1"/>
    <xf numFmtId="167" fontId="25" fillId="9" borderId="1" xfId="2" applyNumberFormat="1" applyFont="1" applyFill="1" applyBorder="1" applyAlignment="1"/>
    <xf numFmtId="3" fontId="1" fillId="9" borderId="1" xfId="0" applyNumberFormat="1" applyFont="1" applyFill="1" applyBorder="1"/>
    <xf numFmtId="172" fontId="1" fillId="9" borderId="1" xfId="7" applyNumberFormat="1" applyFont="1" applyFill="1" applyBorder="1" applyAlignment="1">
      <alignment horizontal="center" vertical="center"/>
    </xf>
    <xf numFmtId="41" fontId="3" fillId="9" borderId="1" xfId="14" applyFont="1" applyFill="1" applyBorder="1" applyAlignment="1">
      <alignment horizontal="right" vertical="center" wrapText="1"/>
    </xf>
    <xf numFmtId="41" fontId="1" fillId="0" borderId="1" xfId="14" applyFont="1" applyFill="1" applyBorder="1" applyAlignment="1">
      <alignment horizontal="right" vertical="center"/>
    </xf>
    <xf numFmtId="41" fontId="1" fillId="9" borderId="1" xfId="14" applyFont="1" applyFill="1" applyBorder="1" applyAlignment="1">
      <alignment horizontal="right" vertical="center"/>
    </xf>
    <xf numFmtId="172" fontId="3" fillId="9" borderId="1" xfId="7" applyNumberFormat="1" applyFont="1" applyFill="1" applyBorder="1" applyAlignment="1">
      <alignment horizontal="center" vertical="center"/>
    </xf>
    <xf numFmtId="41" fontId="3" fillId="9" borderId="1" xfId="14" applyFont="1" applyFill="1" applyBorder="1" applyAlignment="1">
      <alignment horizontal="right" vertical="center"/>
    </xf>
    <xf numFmtId="41" fontId="31" fillId="7" borderId="1" xfId="14" applyFont="1" applyFill="1" applyBorder="1" applyAlignment="1" applyProtection="1">
      <alignment horizontal="center" vertical="center"/>
    </xf>
    <xf numFmtId="172" fontId="31" fillId="7" borderId="1" xfId="7" applyNumberFormat="1" applyFont="1" applyFill="1" applyBorder="1" applyAlignment="1" applyProtection="1">
      <alignment horizontal="center" vertical="center"/>
    </xf>
    <xf numFmtId="0" fontId="27" fillId="9" borderId="1" xfId="2" applyFont="1" applyFill="1" applyBorder="1" applyAlignment="1"/>
    <xf numFmtId="167" fontId="27" fillId="9" borderId="1" xfId="2" applyNumberFormat="1" applyFont="1" applyFill="1" applyBorder="1" applyAlignment="1"/>
    <xf numFmtId="168" fontId="27" fillId="9" borderId="1" xfId="2" applyNumberFormat="1" applyFont="1" applyFill="1" applyBorder="1" applyAlignment="1"/>
    <xf numFmtId="0" fontId="16" fillId="11" borderId="1" xfId="2" applyFont="1" applyFill="1" applyBorder="1" applyAlignment="1">
      <alignment vertical="center"/>
    </xf>
    <xf numFmtId="167" fontId="16" fillId="11" borderId="1" xfId="2" applyNumberFormat="1" applyFont="1" applyFill="1" applyBorder="1" applyAlignment="1">
      <alignment vertical="center"/>
    </xf>
    <xf numFmtId="168" fontId="16" fillId="11" borderId="1" xfId="2" applyNumberFormat="1" applyFont="1" applyFill="1" applyBorder="1" applyAlignment="1">
      <alignment vertical="center"/>
    </xf>
    <xf numFmtId="3" fontId="16" fillId="11" borderId="1" xfId="2" applyNumberFormat="1" applyFont="1" applyFill="1" applyBorder="1" applyAlignment="1">
      <alignment vertical="center"/>
    </xf>
    <xf numFmtId="172" fontId="16" fillId="11" borderId="1" xfId="7" applyNumberFormat="1" applyFont="1" applyFill="1" applyBorder="1" applyAlignment="1">
      <alignment horizontal="center" vertical="center"/>
    </xf>
    <xf numFmtId="41" fontId="16" fillId="11" borderId="1" xfId="14" applyFont="1" applyFill="1" applyBorder="1" applyAlignment="1">
      <alignment horizontal="right" vertical="center"/>
    </xf>
    <xf numFmtId="172" fontId="16" fillId="11" borderId="1" xfId="2" applyNumberFormat="1" applyFont="1" applyFill="1" applyBorder="1" applyAlignment="1">
      <alignment horizontal="center" vertical="center"/>
    </xf>
    <xf numFmtId="41" fontId="16" fillId="11" borderId="1" xfId="14" applyFont="1" applyFill="1" applyBorder="1" applyAlignment="1">
      <alignment horizontal="center" vertical="center"/>
    </xf>
    <xf numFmtId="3" fontId="16" fillId="11" borderId="1" xfId="2" applyNumberFormat="1" applyFont="1" applyFill="1" applyBorder="1"/>
    <xf numFmtId="41" fontId="16" fillId="11" borderId="1" xfId="14" applyFont="1" applyFill="1" applyBorder="1" applyAlignment="1">
      <alignment horizontal="right"/>
    </xf>
    <xf numFmtId="172" fontId="16" fillId="11" borderId="1" xfId="7" applyNumberFormat="1" applyFont="1" applyFill="1" applyBorder="1" applyAlignment="1">
      <alignment horizontal="center"/>
    </xf>
    <xf numFmtId="0" fontId="1" fillId="8" borderId="1" xfId="0" applyFont="1" applyFill="1" applyBorder="1" applyAlignment="1">
      <alignment horizontal="left"/>
    </xf>
    <xf numFmtId="167" fontId="1" fillId="8" borderId="1" xfId="0" applyNumberFormat="1" applyFont="1" applyFill="1" applyBorder="1" applyAlignment="1">
      <alignment horizontal="left" vertical="center"/>
    </xf>
    <xf numFmtId="168" fontId="1" fillId="8" borderId="1" xfId="0" applyNumberFormat="1" applyFont="1" applyFill="1" applyBorder="1" applyAlignment="1">
      <alignment horizontal="left" vertical="center"/>
    </xf>
    <xf numFmtId="168" fontId="1" fillId="8" borderId="1" xfId="0" applyNumberFormat="1" applyFont="1" applyFill="1" applyBorder="1"/>
    <xf numFmtId="0" fontId="1" fillId="8" borderId="1" xfId="0" applyFont="1" applyFill="1" applyBorder="1"/>
    <xf numFmtId="3" fontId="1" fillId="8" borderId="1" xfId="0" applyNumberFormat="1" applyFont="1" applyFill="1" applyBorder="1"/>
    <xf numFmtId="172" fontId="1" fillId="8" borderId="1" xfId="7" applyNumberFormat="1" applyFont="1" applyFill="1" applyBorder="1" applyAlignment="1">
      <alignment horizontal="center"/>
    </xf>
    <xf numFmtId="41" fontId="1" fillId="8" borderId="1" xfId="14" applyFont="1" applyFill="1" applyBorder="1" applyAlignment="1">
      <alignment horizontal="right"/>
    </xf>
    <xf numFmtId="172" fontId="12" fillId="8" borderId="1" xfId="7" applyNumberFormat="1" applyFont="1" applyFill="1" applyBorder="1" applyAlignment="1">
      <alignment horizontal="right"/>
    </xf>
    <xf numFmtId="0" fontId="55" fillId="9" borderId="0" xfId="0" applyFont="1" applyFill="1" applyAlignment="1">
      <alignment horizontal="left"/>
    </xf>
    <xf numFmtId="167" fontId="55" fillId="9" borderId="0" xfId="0" applyNumberFormat="1" applyFont="1" applyFill="1" applyAlignment="1">
      <alignment horizontal="left" vertical="center"/>
    </xf>
    <xf numFmtId="168" fontId="55" fillId="9" borderId="0" xfId="0" applyNumberFormat="1" applyFont="1" applyFill="1" applyAlignment="1">
      <alignment horizontal="left" vertical="center"/>
    </xf>
    <xf numFmtId="168" fontId="55" fillId="9" borderId="0" xfId="0" applyNumberFormat="1" applyFont="1" applyFill="1"/>
    <xf numFmtId="3" fontId="55" fillId="9" borderId="0" xfId="0" applyNumberFormat="1" applyFont="1" applyFill="1"/>
    <xf numFmtId="3" fontId="55" fillId="9" borderId="0" xfId="0" applyNumberFormat="1" applyFont="1" applyFill="1" applyAlignment="1">
      <alignment horizontal="center"/>
    </xf>
    <xf numFmtId="41" fontId="55" fillId="9" borderId="0" xfId="14" applyFont="1" applyFill="1"/>
    <xf numFmtId="0" fontId="55" fillId="9" borderId="0" xfId="0" applyFont="1" applyFill="1"/>
    <xf numFmtId="3" fontId="3" fillId="9" borderId="1" xfId="0" applyNumberFormat="1" applyFont="1" applyFill="1" applyBorder="1" applyAlignment="1" applyProtection="1">
      <alignment horizontal="center" vertical="center"/>
      <protection locked="0"/>
    </xf>
    <xf numFmtId="172" fontId="0" fillId="0" borderId="0" xfId="0" applyNumberFormat="1"/>
    <xf numFmtId="9" fontId="0" fillId="0" borderId="0" xfId="0" applyNumberFormat="1"/>
    <xf numFmtId="169" fontId="3" fillId="9" borderId="18" xfId="11" applyNumberFormat="1" applyFont="1" applyFill="1" applyBorder="1" applyAlignment="1">
      <alignment horizontal="right"/>
    </xf>
    <xf numFmtId="3" fontId="1" fillId="0" borderId="2" xfId="14" applyNumberFormat="1" applyFont="1" applyBorder="1" applyAlignment="1">
      <alignment horizontal="center" vertical="center" wrapText="1"/>
    </xf>
    <xf numFmtId="3" fontId="3" fillId="9" borderId="2" xfId="14" applyNumberFormat="1" applyFont="1" applyFill="1" applyBorder="1" applyAlignment="1" applyProtection="1">
      <alignment horizontal="right" vertical="center"/>
    </xf>
    <xf numFmtId="0" fontId="21" fillId="5" borderId="44" xfId="0" applyFont="1" applyFill="1" applyBorder="1" applyAlignment="1">
      <alignment horizontal="center" vertical="center" wrapText="1"/>
    </xf>
    <xf numFmtId="167" fontId="21" fillId="5" borderId="26" xfId="0" applyNumberFormat="1" applyFont="1" applyFill="1" applyBorder="1" applyAlignment="1">
      <alignment horizontal="center" vertical="center" wrapText="1"/>
    </xf>
    <xf numFmtId="168" fontId="21" fillId="5" borderId="26" xfId="0" applyNumberFormat="1" applyFont="1" applyFill="1" applyBorder="1" applyAlignment="1">
      <alignment horizontal="center" vertical="center" wrapText="1"/>
    </xf>
    <xf numFmtId="0" fontId="21" fillId="5" borderId="26" xfId="0" applyFont="1" applyFill="1" applyBorder="1" applyAlignment="1">
      <alignment vertical="center"/>
    </xf>
    <xf numFmtId="168" fontId="3" fillId="0" borderId="14" xfId="0" applyNumberFormat="1" applyFont="1" applyBorder="1" applyAlignment="1">
      <alignment horizontal="center" vertical="center" wrapText="1"/>
    </xf>
    <xf numFmtId="168" fontId="2" fillId="5" borderId="26" xfId="0" applyNumberFormat="1" applyFont="1" applyFill="1" applyBorder="1" applyAlignment="1">
      <alignment horizontal="center" vertical="center" wrapText="1"/>
    </xf>
    <xf numFmtId="168" fontId="3" fillId="5" borderId="1" xfId="0" applyNumberFormat="1" applyFont="1" applyFill="1" applyBorder="1" applyAlignment="1">
      <alignment horizontal="center" vertical="center" wrapText="1"/>
    </xf>
    <xf numFmtId="168" fontId="3" fillId="5" borderId="1" xfId="0" applyNumberFormat="1" applyFont="1" applyFill="1" applyBorder="1" applyAlignment="1">
      <alignment horizontal="right" vertical="center" wrapText="1"/>
    </xf>
    <xf numFmtId="3" fontId="2" fillId="2" borderId="2" xfId="0" applyNumberFormat="1" applyFont="1" applyFill="1" applyBorder="1" applyAlignment="1">
      <alignment horizontal="center" vertical="center"/>
    </xf>
    <xf numFmtId="3" fontId="21" fillId="5" borderId="26" xfId="0" applyNumberFormat="1" applyFont="1" applyFill="1" applyBorder="1" applyAlignment="1">
      <alignment horizontal="right" vertical="center" wrapText="1"/>
    </xf>
    <xf numFmtId="3" fontId="3" fillId="0" borderId="1" xfId="14" applyNumberFormat="1" applyFont="1" applyFill="1" applyBorder="1" applyAlignment="1" applyProtection="1">
      <alignment horizontal="right" vertical="center" wrapText="1"/>
    </xf>
    <xf numFmtId="0" fontId="17" fillId="0" borderId="0" xfId="0" applyFont="1" applyAlignment="1">
      <alignment vertical="center"/>
    </xf>
    <xf numFmtId="41" fontId="1" fillId="0" borderId="0" xfId="14" applyFont="1" applyFill="1" applyBorder="1" applyAlignment="1">
      <alignment horizontal="right" vertical="center" wrapText="1"/>
    </xf>
    <xf numFmtId="41" fontId="17" fillId="0" borderId="0" xfId="14" applyFont="1" applyFill="1" applyBorder="1" applyAlignment="1">
      <alignment horizontal="left" vertical="center"/>
    </xf>
    <xf numFmtId="41" fontId="26" fillId="0" borderId="0" xfId="14" applyFont="1" applyFill="1" applyBorder="1" applyAlignment="1">
      <alignment horizontal="left" vertical="center"/>
    </xf>
    <xf numFmtId="49" fontId="21"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1" xfId="0" applyFont="1" applyFill="1" applyBorder="1" applyAlignment="1">
      <alignment vertical="center" wrapText="1"/>
    </xf>
    <xf numFmtId="0" fontId="54" fillId="9" borderId="0" xfId="0" applyFont="1" applyFill="1" applyAlignment="1">
      <alignment horizontal="center" vertical="center"/>
    </xf>
    <xf numFmtId="0" fontId="54" fillId="9" borderId="0" xfId="0" applyFont="1" applyFill="1" applyAlignment="1">
      <alignment vertical="center"/>
    </xf>
    <xf numFmtId="0" fontId="53" fillId="9" borderId="0" xfId="0" applyFont="1" applyFill="1" applyAlignment="1">
      <alignment horizontal="center" vertical="center" wrapText="1"/>
    </xf>
    <xf numFmtId="0" fontId="19"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vertical="center"/>
    </xf>
    <xf numFmtId="0" fontId="12" fillId="9" borderId="1" xfId="0" applyFont="1" applyFill="1" applyBorder="1" applyAlignment="1">
      <alignment vertical="center"/>
    </xf>
    <xf numFmtId="3" fontId="1" fillId="0" borderId="1" xfId="0" applyNumberFormat="1" applyFont="1" applyBorder="1" applyAlignment="1">
      <alignment horizontal="left" vertical="center"/>
    </xf>
    <xf numFmtId="168" fontId="13" fillId="5" borderId="1" xfId="0" applyNumberFormat="1" applyFont="1" applyFill="1" applyBorder="1" applyAlignment="1">
      <alignment vertical="center"/>
    </xf>
    <xf numFmtId="0" fontId="1" fillId="0" borderId="1" xfId="0" applyFont="1" applyBorder="1" applyAlignment="1">
      <alignment horizontal="left" vertical="center"/>
    </xf>
    <xf numFmtId="0" fontId="21" fillId="9" borderId="1" xfId="0" applyFont="1" applyFill="1" applyBorder="1" applyAlignment="1">
      <alignment vertical="center"/>
    </xf>
    <xf numFmtId="0" fontId="2" fillId="5" borderId="1" xfId="0" applyFont="1" applyFill="1" applyBorder="1" applyAlignment="1">
      <alignment vertical="center"/>
    </xf>
    <xf numFmtId="41" fontId="21" fillId="5" borderId="1" xfId="7" applyNumberFormat="1" applyFont="1" applyFill="1" applyBorder="1" applyAlignment="1">
      <alignment horizontal="left" vertical="center"/>
    </xf>
    <xf numFmtId="41" fontId="51" fillId="15" borderId="1" xfId="14" applyFont="1" applyFill="1" applyBorder="1" applyAlignment="1">
      <alignment horizontal="center"/>
    </xf>
    <xf numFmtId="41" fontId="51" fillId="25" borderId="1" xfId="14" applyFont="1" applyFill="1" applyBorder="1" applyAlignment="1">
      <alignment horizontal="center"/>
    </xf>
    <xf numFmtId="41" fontId="1" fillId="0" borderId="0" xfId="14" applyFont="1" applyFill="1" applyBorder="1" applyAlignment="1">
      <alignment vertical="center" wrapText="1"/>
    </xf>
    <xf numFmtId="0" fontId="51" fillId="15" borderId="0" xfId="0" applyFont="1" applyFill="1"/>
    <xf numFmtId="0" fontId="51" fillId="25" borderId="1" xfId="0" applyFont="1" applyFill="1" applyBorder="1"/>
    <xf numFmtId="0" fontId="52" fillId="25" borderId="1" xfId="0" applyFont="1" applyFill="1" applyBorder="1"/>
    <xf numFmtId="41" fontId="51" fillId="15" borderId="1" xfId="14" applyFont="1" applyFill="1" applyBorder="1" applyAlignment="1"/>
    <xf numFmtId="41" fontId="52" fillId="9" borderId="0" xfId="14" applyFont="1" applyFill="1" applyAlignment="1"/>
    <xf numFmtId="41" fontId="52" fillId="9" borderId="0" xfId="0" applyNumberFormat="1" applyFont="1" applyFill="1"/>
    <xf numFmtId="3" fontId="52" fillId="9" borderId="0" xfId="0" applyNumberFormat="1" applyFont="1" applyFill="1"/>
    <xf numFmtId="0" fontId="52" fillId="0" borderId="0" xfId="0" applyFont="1" applyAlignment="1">
      <alignment horizontal="left" vertical="center"/>
    </xf>
    <xf numFmtId="41" fontId="52" fillId="9" borderId="0" xfId="14" applyFont="1" applyFill="1" applyBorder="1" applyAlignment="1"/>
    <xf numFmtId="3" fontId="61" fillId="9" borderId="0" xfId="0" applyNumberFormat="1" applyFont="1" applyFill="1" applyAlignment="1">
      <alignment horizontal="left" vertical="center"/>
    </xf>
    <xf numFmtId="3" fontId="61" fillId="9" borderId="0" xfId="14" applyNumberFormat="1" applyFont="1" applyFill="1" applyBorder="1" applyAlignment="1" applyProtection="1">
      <alignment horizontal="center" vertical="center" wrapText="1"/>
    </xf>
    <xf numFmtId="0" fontId="40" fillId="9" borderId="0" xfId="0" applyFont="1" applyFill="1" applyAlignment="1">
      <alignment horizontal="left" vertical="center"/>
    </xf>
    <xf numFmtId="0" fontId="40" fillId="9" borderId="0" xfId="0" applyFont="1" applyFill="1" applyAlignment="1">
      <alignment horizontal="center" vertical="center"/>
    </xf>
    <xf numFmtId="0" fontId="62" fillId="9" borderId="0" xfId="1" applyFont="1" applyFill="1" applyBorder="1" applyAlignment="1">
      <alignment horizontal="left" vertical="center"/>
    </xf>
    <xf numFmtId="0" fontId="62" fillId="9" borderId="0" xfId="1" applyFont="1" applyFill="1" applyBorder="1" applyAlignment="1">
      <alignment horizontal="center" vertical="center"/>
    </xf>
    <xf numFmtId="10" fontId="63" fillId="9" borderId="0" xfId="7" applyNumberFormat="1" applyFont="1" applyFill="1" applyBorder="1" applyAlignment="1">
      <alignment horizontal="left" vertical="center"/>
    </xf>
    <xf numFmtId="10" fontId="63" fillId="9" borderId="0" xfId="7" applyNumberFormat="1" applyFont="1" applyFill="1" applyBorder="1" applyAlignment="1">
      <alignment horizontal="center" vertical="center"/>
    </xf>
    <xf numFmtId="3" fontId="63" fillId="9" borderId="0" xfId="0" applyNumberFormat="1" applyFont="1" applyFill="1" applyAlignment="1">
      <alignment horizontal="left" vertical="center"/>
    </xf>
    <xf numFmtId="3" fontId="63" fillId="9" borderId="0" xfId="0" applyNumberFormat="1" applyFont="1" applyFill="1" applyAlignment="1">
      <alignment horizontal="center" vertical="center"/>
    </xf>
    <xf numFmtId="3" fontId="64" fillId="9" borderId="0" xfId="0" applyNumberFormat="1" applyFont="1" applyFill="1" applyAlignment="1">
      <alignment horizontal="left" vertical="center"/>
    </xf>
    <xf numFmtId="3" fontId="64" fillId="9" borderId="0" xfId="0" applyNumberFormat="1" applyFont="1" applyFill="1" applyAlignment="1">
      <alignment horizontal="center" vertical="center"/>
    </xf>
    <xf numFmtId="3" fontId="65" fillId="9" borderId="0" xfId="14" applyNumberFormat="1" applyFont="1" applyFill="1" applyBorder="1" applyAlignment="1">
      <alignment horizontal="left" vertical="center" wrapText="1"/>
    </xf>
    <xf numFmtId="3" fontId="65" fillId="9" borderId="0" xfId="14" applyNumberFormat="1" applyFont="1" applyFill="1" applyBorder="1" applyAlignment="1">
      <alignment horizontal="center" vertical="center" wrapText="1"/>
    </xf>
    <xf numFmtId="3" fontId="61" fillId="9" borderId="0" xfId="0" applyNumberFormat="1" applyFont="1" applyFill="1" applyAlignment="1">
      <alignment horizontal="center" vertical="center"/>
    </xf>
    <xf numFmtId="3" fontId="65" fillId="9" borderId="0" xfId="0" applyNumberFormat="1" applyFont="1" applyFill="1" applyAlignment="1">
      <alignment horizontal="left" vertical="center"/>
    </xf>
    <xf numFmtId="3" fontId="65" fillId="9" borderId="0" xfId="0" applyNumberFormat="1" applyFont="1" applyFill="1" applyAlignment="1">
      <alignment horizontal="center" vertical="center"/>
    </xf>
    <xf numFmtId="41" fontId="3" fillId="0" borderId="0" xfId="14" applyFont="1" applyFill="1" applyBorder="1" applyAlignment="1">
      <alignment vertical="center" wrapText="1"/>
    </xf>
    <xf numFmtId="41" fontId="3" fillId="0" borderId="0" xfId="14" applyFont="1" applyFill="1" applyBorder="1" applyAlignment="1">
      <alignment horizontal="center" vertical="center" wrapText="1"/>
    </xf>
    <xf numFmtId="167" fontId="21" fillId="0" borderId="1" xfId="0" applyNumberFormat="1" applyFont="1" applyBorder="1" applyAlignment="1">
      <alignment horizontal="center" vertical="center" wrapText="1"/>
    </xf>
    <xf numFmtId="3" fontId="21" fillId="0" borderId="1" xfId="7" applyNumberFormat="1" applyFont="1" applyFill="1" applyBorder="1" applyAlignment="1">
      <alignment horizontal="right" vertical="center" wrapText="1"/>
    </xf>
    <xf numFmtId="3" fontId="61" fillId="0" borderId="0" xfId="0" applyNumberFormat="1" applyFont="1" applyAlignment="1">
      <alignment horizontal="left" vertical="center"/>
    </xf>
    <xf numFmtId="3" fontId="61" fillId="0" borderId="0" xfId="14" applyNumberFormat="1" applyFont="1" applyFill="1" applyBorder="1" applyAlignment="1" applyProtection="1">
      <alignment horizontal="center" vertical="center" wrapText="1"/>
    </xf>
    <xf numFmtId="3" fontId="21" fillId="0" borderId="1" xfId="14" applyNumberFormat="1" applyFont="1" applyFill="1" applyBorder="1" applyAlignment="1">
      <alignment horizontal="right" vertical="center" wrapText="1"/>
    </xf>
    <xf numFmtId="3" fontId="21" fillId="0" borderId="1" xfId="0" applyNumberFormat="1" applyFont="1" applyBorder="1" applyAlignment="1">
      <alignment vertical="center"/>
    </xf>
    <xf numFmtId="41" fontId="3" fillId="0" borderId="0" xfId="14" applyFont="1" applyFill="1" applyAlignment="1">
      <alignment horizontal="center" vertical="center" wrapText="1"/>
    </xf>
    <xf numFmtId="0" fontId="15" fillId="10" borderId="2" xfId="1" applyFont="1" applyFill="1" applyBorder="1" applyAlignment="1">
      <alignment vertical="center"/>
    </xf>
    <xf numFmtId="3" fontId="16" fillId="11" borderId="2" xfId="14" applyNumberFormat="1" applyFont="1" applyFill="1" applyBorder="1" applyAlignment="1" applyProtection="1">
      <alignment horizontal="right" vertical="center"/>
    </xf>
    <xf numFmtId="3" fontId="21" fillId="5" borderId="2" xfId="0" applyNumberFormat="1" applyFont="1" applyFill="1" applyBorder="1" applyAlignment="1">
      <alignment horizontal="right" vertical="center" wrapText="1"/>
    </xf>
    <xf numFmtId="3" fontId="1" fillId="0" borderId="2" xfId="0" applyNumberFormat="1" applyFont="1" applyBorder="1" applyAlignment="1">
      <alignment horizontal="right" vertical="center" wrapText="1"/>
    </xf>
    <xf numFmtId="3" fontId="3" fillId="0" borderId="2" xfId="0" applyNumberFormat="1" applyFont="1" applyBorder="1" applyAlignment="1">
      <alignment horizontal="right" vertical="center" wrapText="1"/>
    </xf>
    <xf numFmtId="3" fontId="1" fillId="9" borderId="2" xfId="0" applyNumberFormat="1" applyFont="1" applyFill="1" applyBorder="1" applyAlignment="1">
      <alignment horizontal="right" vertical="center" wrapText="1"/>
    </xf>
    <xf numFmtId="3" fontId="2" fillId="5" borderId="2" xfId="0" applyNumberFormat="1" applyFont="1" applyFill="1" applyBorder="1" applyAlignment="1">
      <alignment horizontal="right" vertical="center" wrapText="1"/>
    </xf>
    <xf numFmtId="3" fontId="21" fillId="0" borderId="2" xfId="0" applyNumberFormat="1" applyFont="1" applyBorder="1" applyAlignment="1">
      <alignment horizontal="right" vertical="center" wrapText="1"/>
    </xf>
    <xf numFmtId="3" fontId="1" fillId="0" borderId="2" xfId="0" applyNumberFormat="1" applyFont="1" applyBorder="1" applyAlignment="1">
      <alignment horizontal="right" vertical="center"/>
    </xf>
    <xf numFmtId="3" fontId="3" fillId="9" borderId="2" xfId="0" applyNumberFormat="1" applyFont="1" applyFill="1" applyBorder="1" applyAlignment="1">
      <alignment horizontal="right" vertical="center" wrapText="1"/>
    </xf>
    <xf numFmtId="170" fontId="17" fillId="8" borderId="1" xfId="0" applyNumberFormat="1" applyFont="1" applyFill="1" applyBorder="1" applyAlignment="1">
      <alignment horizontal="left" vertical="center"/>
    </xf>
    <xf numFmtId="167" fontId="17" fillId="8" borderId="1" xfId="0" applyNumberFormat="1" applyFont="1" applyFill="1" applyBorder="1" applyAlignment="1">
      <alignment horizontal="center" vertical="center"/>
    </xf>
    <xf numFmtId="168" fontId="17" fillId="8" borderId="1" xfId="0" applyNumberFormat="1" applyFont="1" applyFill="1" applyBorder="1" applyAlignment="1">
      <alignment horizontal="center" vertical="center"/>
    </xf>
    <xf numFmtId="168" fontId="17" fillId="8" borderId="1" xfId="0" applyNumberFormat="1" applyFont="1" applyFill="1" applyBorder="1" applyAlignment="1">
      <alignment vertical="center"/>
    </xf>
    <xf numFmtId="0" fontId="17" fillId="8" borderId="1" xfId="0" applyFont="1" applyFill="1" applyBorder="1" applyAlignment="1">
      <alignment vertical="center"/>
    </xf>
    <xf numFmtId="3" fontId="17" fillId="8" borderId="1" xfId="0" applyNumberFormat="1" applyFont="1" applyFill="1" applyBorder="1" applyAlignment="1">
      <alignment horizontal="right" vertical="center"/>
    </xf>
    <xf numFmtId="1" fontId="17" fillId="8" borderId="1" xfId="14" applyNumberFormat="1" applyFont="1" applyFill="1" applyBorder="1" applyAlignment="1">
      <alignment horizontal="right" vertical="center"/>
    </xf>
    <xf numFmtId="10" fontId="17" fillId="8" borderId="1" xfId="7" applyNumberFormat="1" applyFont="1" applyFill="1" applyBorder="1" applyAlignment="1">
      <alignment horizontal="center" vertical="center"/>
    </xf>
    <xf numFmtId="3" fontId="17" fillId="8" borderId="1" xfId="14" applyNumberFormat="1" applyFont="1" applyFill="1" applyBorder="1" applyAlignment="1">
      <alignment horizontal="right" vertical="center"/>
    </xf>
    <xf numFmtId="172" fontId="17" fillId="8" borderId="1" xfId="7" applyNumberFormat="1" applyFont="1" applyFill="1" applyBorder="1" applyAlignment="1">
      <alignment horizontal="center" vertical="center"/>
    </xf>
    <xf numFmtId="0" fontId="21" fillId="5" borderId="1" xfId="0" applyFont="1" applyFill="1" applyBorder="1" applyAlignment="1">
      <alignment horizontal="center" vertical="center" wrapText="1"/>
    </xf>
    <xf numFmtId="3" fontId="2" fillId="5" borderId="1" xfId="14" applyNumberFormat="1" applyFont="1" applyFill="1" applyBorder="1" applyAlignment="1" applyProtection="1">
      <alignment horizontal="right" vertical="center" wrapText="1"/>
    </xf>
    <xf numFmtId="168"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1" fillId="5" borderId="1" xfId="0" applyFont="1" applyFill="1" applyBorder="1" applyAlignment="1">
      <alignment horizontal="left" vertical="center" wrapText="1"/>
    </xf>
    <xf numFmtId="0" fontId="21" fillId="0" borderId="1" xfId="0" applyFont="1" applyBorder="1" applyAlignment="1">
      <alignment horizontal="center" vertical="center" wrapText="1"/>
    </xf>
    <xf numFmtId="0" fontId="21" fillId="5" borderId="1" xfId="0" applyFont="1" applyFill="1" applyBorder="1" applyAlignment="1">
      <alignment horizontal="center" vertical="center"/>
    </xf>
    <xf numFmtId="0" fontId="21" fillId="9" borderId="1" xfId="0" applyFont="1" applyFill="1" applyBorder="1" applyAlignment="1">
      <alignment horizontal="left" vertical="center" wrapText="1"/>
    </xf>
    <xf numFmtId="3" fontId="2" fillId="9" borderId="1" xfId="14" applyNumberFormat="1" applyFont="1" applyFill="1" applyBorder="1" applyAlignment="1" applyProtection="1">
      <alignment horizontal="righ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10" fontId="4" fillId="6" borderId="1" xfId="7" applyNumberFormat="1" applyFont="1" applyFill="1" applyBorder="1" applyAlignment="1">
      <alignment horizontal="center" vertical="center"/>
    </xf>
    <xf numFmtId="10" fontId="31" fillId="6" borderId="1" xfId="7" applyNumberFormat="1" applyFont="1" applyFill="1" applyBorder="1" applyAlignment="1">
      <alignment horizontal="center" vertical="center" wrapText="1"/>
    </xf>
    <xf numFmtId="10" fontId="1" fillId="9" borderId="1" xfId="7" applyNumberFormat="1" applyFont="1" applyFill="1" applyBorder="1" applyAlignment="1" applyProtection="1">
      <alignment horizontal="center" vertical="center" wrapText="1"/>
    </xf>
    <xf numFmtId="10" fontId="21" fillId="0" borderId="1" xfId="7" applyNumberFormat="1" applyFont="1" applyFill="1" applyBorder="1" applyAlignment="1">
      <alignment horizontal="center" vertical="center" wrapText="1"/>
    </xf>
    <xf numFmtId="10" fontId="1" fillId="0" borderId="1" xfId="7" applyNumberFormat="1" applyFont="1" applyFill="1" applyBorder="1" applyAlignment="1" applyProtection="1">
      <alignment horizontal="center" vertical="center"/>
    </xf>
    <xf numFmtId="10" fontId="21" fillId="9" borderId="1" xfId="7" applyNumberFormat="1" applyFont="1" applyFill="1" applyBorder="1" applyAlignment="1">
      <alignment horizontal="center" vertical="center" wrapText="1"/>
    </xf>
    <xf numFmtId="10" fontId="1" fillId="0" borderId="0" xfId="7" applyNumberFormat="1" applyFont="1" applyAlignment="1">
      <alignment horizontal="right" vertical="center"/>
    </xf>
    <xf numFmtId="10" fontId="13" fillId="0" borderId="1" xfId="7" applyNumberFormat="1" applyFont="1" applyFill="1" applyBorder="1" applyAlignment="1">
      <alignment horizontal="center" vertical="center" wrapText="1"/>
    </xf>
    <xf numFmtId="0" fontId="13" fillId="5" borderId="1" xfId="0" applyFont="1" applyFill="1" applyBorder="1" applyAlignment="1">
      <alignment vertical="center"/>
    </xf>
    <xf numFmtId="41" fontId="51" fillId="25" borderId="1" xfId="14" applyFont="1" applyFill="1" applyBorder="1" applyAlignment="1"/>
    <xf numFmtId="41" fontId="2" fillId="9" borderId="0" xfId="14" applyFont="1" applyFill="1" applyAlignment="1" applyProtection="1">
      <alignment vertical="center"/>
      <protection locked="0"/>
    </xf>
    <xf numFmtId="41" fontId="1" fillId="9" borderId="0" xfId="14" applyFont="1" applyFill="1" applyAlignment="1" applyProtection="1">
      <alignment vertical="center" wrapText="1"/>
      <protection locked="0"/>
    </xf>
    <xf numFmtId="41" fontId="2" fillId="9" borderId="0" xfId="14" applyFont="1" applyFill="1" applyAlignment="1" applyProtection="1">
      <alignment vertical="center" wrapText="1"/>
      <protection locked="0"/>
    </xf>
    <xf numFmtId="41" fontId="1" fillId="9" borderId="0" xfId="14" applyFont="1" applyFill="1" applyBorder="1" applyAlignment="1" applyProtection="1">
      <alignment vertical="center"/>
      <protection locked="0"/>
    </xf>
    <xf numFmtId="0" fontId="50" fillId="26" borderId="0" xfId="0" applyFont="1" applyFill="1"/>
    <xf numFmtId="0" fontId="50" fillId="26" borderId="0" xfId="0" applyFont="1" applyFill="1" applyAlignment="1">
      <alignment horizontal="center" vertical="center" wrapText="1"/>
    </xf>
    <xf numFmtId="0" fontId="0" fillId="26" borderId="0" xfId="0" applyFill="1"/>
    <xf numFmtId="41" fontId="50" fillId="26" borderId="0" xfId="14" applyFont="1" applyFill="1" applyBorder="1" applyAlignment="1">
      <alignment horizontal="center" vertical="center" wrapText="1"/>
    </xf>
    <xf numFmtId="41" fontId="1" fillId="9" borderId="0" xfId="14" applyFont="1" applyFill="1" applyAlignment="1" applyProtection="1">
      <alignment horizontal="center" vertical="center"/>
      <protection locked="0"/>
    </xf>
    <xf numFmtId="10" fontId="0" fillId="9" borderId="0" xfId="7" applyNumberFormat="1" applyFont="1" applyFill="1" applyAlignment="1">
      <alignment horizontal="center"/>
    </xf>
    <xf numFmtId="10" fontId="27" fillId="11" borderId="1" xfId="7" applyNumberFormat="1" applyFont="1" applyFill="1" applyBorder="1" applyAlignment="1" applyProtection="1">
      <alignment horizontal="center" vertical="center" wrapText="1"/>
    </xf>
    <xf numFmtId="10" fontId="21" fillId="5"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wrapText="1"/>
    </xf>
    <xf numFmtId="10" fontId="1" fillId="0" borderId="0" xfId="7" applyNumberFormat="1" applyFont="1" applyAlignment="1" applyProtection="1">
      <alignment horizontal="center"/>
      <protection locked="0"/>
    </xf>
    <xf numFmtId="10" fontId="0" fillId="9" borderId="0" xfId="7" applyNumberFormat="1" applyFont="1" applyFill="1"/>
    <xf numFmtId="10" fontId="3" fillId="9" borderId="1" xfId="7" applyNumberFormat="1" applyFont="1" applyFill="1" applyBorder="1" applyAlignment="1" applyProtection="1">
      <alignment horizontal="center" vertical="center"/>
    </xf>
    <xf numFmtId="10" fontId="3" fillId="5" borderId="1" xfId="7" applyNumberFormat="1" applyFont="1" applyFill="1" applyBorder="1" applyAlignment="1" applyProtection="1">
      <alignment horizontal="center" vertical="center"/>
    </xf>
    <xf numFmtId="10" fontId="3" fillId="0" borderId="0" xfId="7" applyNumberFormat="1" applyFont="1" applyAlignment="1" applyProtection="1">
      <alignment horizontal="center" vertical="center"/>
      <protection locked="0"/>
    </xf>
    <xf numFmtId="3" fontId="2" fillId="2" borderId="18" xfId="0" applyNumberFormat="1" applyFont="1" applyFill="1" applyBorder="1" applyAlignment="1">
      <alignment horizontal="center" vertical="center"/>
    </xf>
    <xf numFmtId="3" fontId="1" fillId="0" borderId="18" xfId="14" applyNumberFormat="1" applyFont="1" applyBorder="1" applyAlignment="1">
      <alignment horizontal="center" vertical="center" wrapText="1"/>
    </xf>
    <xf numFmtId="3" fontId="1" fillId="9" borderId="18" xfId="0" applyNumberFormat="1" applyFont="1" applyFill="1" applyBorder="1" applyAlignment="1">
      <alignment horizontal="right" vertical="center" wrapText="1"/>
    </xf>
    <xf numFmtId="3" fontId="1" fillId="9" borderId="18" xfId="0" applyNumberFormat="1" applyFont="1" applyFill="1" applyBorder="1" applyAlignment="1">
      <alignment vertical="center"/>
    </xf>
    <xf numFmtId="3" fontId="3" fillId="9" borderId="18" xfId="0" applyNumberFormat="1" applyFont="1" applyFill="1" applyBorder="1" applyAlignment="1">
      <alignment vertical="center"/>
    </xf>
    <xf numFmtId="3" fontId="2" fillId="5" borderId="18" xfId="0" applyNumberFormat="1" applyFont="1" applyFill="1" applyBorder="1" applyAlignment="1">
      <alignment horizontal="right" vertical="center" wrapText="1"/>
    </xf>
    <xf numFmtId="3" fontId="21" fillId="5" borderId="18" xfId="0" applyNumberFormat="1" applyFont="1" applyFill="1" applyBorder="1" applyAlignment="1">
      <alignment horizontal="right" vertical="center" wrapText="1"/>
    </xf>
    <xf numFmtId="3" fontId="1" fillId="0" borderId="18" xfId="0" applyNumberFormat="1" applyFont="1" applyBorder="1" applyAlignment="1">
      <alignment horizontal="right" vertical="center" wrapText="1"/>
    </xf>
    <xf numFmtId="3" fontId="3" fillId="9" borderId="2" xfId="0" applyNumberFormat="1" applyFont="1" applyFill="1" applyBorder="1" applyAlignment="1" applyProtection="1">
      <alignment vertical="center"/>
      <protection locked="0"/>
    </xf>
    <xf numFmtId="3" fontId="21" fillId="5" borderId="2" xfId="0" applyNumberFormat="1" applyFont="1" applyFill="1" applyBorder="1" applyAlignment="1" applyProtection="1">
      <alignment horizontal="right" vertical="center"/>
      <protection locked="0"/>
    </xf>
    <xf numFmtId="3" fontId="3" fillId="9" borderId="18" xfId="0" applyNumberFormat="1" applyFont="1" applyFill="1" applyBorder="1" applyAlignment="1">
      <alignment horizontal="right" vertical="center" wrapText="1"/>
    </xf>
    <xf numFmtId="3" fontId="21" fillId="5" borderId="16" xfId="14" applyNumberFormat="1" applyFont="1" applyFill="1" applyBorder="1" applyAlignment="1" applyProtection="1">
      <alignment horizontal="right" vertical="center" wrapText="1"/>
    </xf>
    <xf numFmtId="3" fontId="21" fillId="5" borderId="17" xfId="14" applyNumberFormat="1" applyFont="1" applyFill="1" applyBorder="1" applyAlignment="1" applyProtection="1">
      <alignment horizontal="right" vertical="center"/>
    </xf>
    <xf numFmtId="3" fontId="3" fillId="5" borderId="1" xfId="14" applyNumberFormat="1" applyFont="1" applyFill="1" applyBorder="1" applyAlignment="1" applyProtection="1">
      <alignment vertical="center"/>
    </xf>
    <xf numFmtId="3" fontId="3" fillId="5" borderId="1" xfId="0" applyNumberFormat="1" applyFont="1" applyFill="1" applyBorder="1" applyAlignment="1" applyProtection="1">
      <alignment horizontal="right" vertical="center"/>
      <protection locked="0"/>
    </xf>
    <xf numFmtId="172" fontId="4" fillId="6" borderId="1" xfId="7" applyNumberFormat="1" applyFont="1" applyFill="1" applyBorder="1" applyAlignment="1">
      <alignment horizontal="center" vertical="center"/>
    </xf>
    <xf numFmtId="0" fontId="27" fillId="11" borderId="1" xfId="2" applyFont="1" applyFill="1" applyBorder="1" applyAlignment="1" applyProtection="1">
      <alignment vertical="center"/>
    </xf>
    <xf numFmtId="172" fontId="3" fillId="0" borderId="1" xfId="7" applyNumberFormat="1" applyFont="1" applyFill="1" applyBorder="1" applyAlignment="1" applyProtection="1">
      <alignment horizontal="center" vertical="center"/>
    </xf>
    <xf numFmtId="0" fontId="3" fillId="5" borderId="1" xfId="0" applyFont="1" applyFill="1" applyBorder="1" applyAlignment="1">
      <alignment horizontal="left" vertical="center" wrapText="1"/>
    </xf>
    <xf numFmtId="0" fontId="3" fillId="0" borderId="1" xfId="16" applyFont="1" applyFill="1" applyBorder="1" applyAlignment="1" applyProtection="1">
      <alignment horizontal="left" vertical="center" wrapText="1"/>
    </xf>
    <xf numFmtId="0" fontId="36" fillId="0" borderId="1" xfId="0" applyFont="1" applyBorder="1" applyAlignment="1">
      <alignment horizontal="left" vertical="center" wrapText="1"/>
    </xf>
    <xf numFmtId="0" fontId="15" fillId="10" borderId="14" xfId="1" applyFont="1" applyFill="1" applyBorder="1" applyAlignment="1">
      <alignment horizontal="center" vertical="center"/>
    </xf>
    <xf numFmtId="0" fontId="15" fillId="10" borderId="14" xfId="1" applyFont="1" applyFill="1" applyBorder="1" applyAlignment="1">
      <alignment vertical="center"/>
    </xf>
    <xf numFmtId="170" fontId="3" fillId="0" borderId="0" xfId="0" applyNumberFormat="1" applyFont="1" applyAlignment="1">
      <alignment horizontal="center" vertical="center"/>
    </xf>
    <xf numFmtId="3" fontId="3" fillId="0" borderId="0" xfId="0" applyNumberFormat="1" applyFont="1" applyAlignment="1" applyProtection="1">
      <alignment horizontal="center" vertical="center"/>
      <protection locked="0"/>
    </xf>
    <xf numFmtId="3" fontId="3" fillId="0" borderId="0" xfId="0" applyNumberFormat="1" applyFont="1" applyAlignment="1" applyProtection="1">
      <alignment vertical="center"/>
      <protection locked="0"/>
    </xf>
    <xf numFmtId="41" fontId="3" fillId="0" borderId="0" xfId="14" applyFont="1" applyFill="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3" fontId="3" fillId="0" borderId="0" xfId="14" applyNumberFormat="1" applyFont="1" applyFill="1" applyBorder="1" applyAlignment="1" applyProtection="1">
      <alignment horizontal="center" vertical="center"/>
      <protection locked="0"/>
    </xf>
    <xf numFmtId="41" fontId="57" fillId="9" borderId="0" xfId="14" applyFont="1" applyFill="1" applyBorder="1" applyAlignment="1" applyProtection="1">
      <alignment horizontal="left" vertical="center" wrapText="1"/>
      <protection locked="0"/>
    </xf>
    <xf numFmtId="41" fontId="57" fillId="9" borderId="0" xfId="14" applyFont="1" applyFill="1" applyBorder="1" applyAlignment="1" applyProtection="1">
      <alignment horizontal="left" vertical="center"/>
      <protection locked="0"/>
    </xf>
    <xf numFmtId="0" fontId="12" fillId="9" borderId="0" xfId="0" applyFont="1" applyFill="1" applyAlignment="1" applyProtection="1">
      <alignment vertical="center"/>
      <protection locked="0"/>
    </xf>
    <xf numFmtId="41" fontId="57" fillId="9" borderId="0" xfId="14" applyFont="1" applyFill="1" applyBorder="1" applyAlignment="1" applyProtection="1">
      <alignment horizontal="center" vertical="center"/>
      <protection locked="0"/>
    </xf>
    <xf numFmtId="41" fontId="57" fillId="9" borderId="0" xfId="14" applyFont="1" applyFill="1" applyBorder="1" applyAlignment="1" applyProtection="1">
      <alignment horizontal="left" vertical="top"/>
      <protection locked="0"/>
    </xf>
    <xf numFmtId="3" fontId="3" fillId="9" borderId="1" xfId="0" applyNumberFormat="1" applyFont="1" applyFill="1" applyBorder="1" applyAlignment="1">
      <alignment horizontal="center" vertical="center" wrapText="1"/>
    </xf>
    <xf numFmtId="3" fontId="1" fillId="9" borderId="1" xfId="14" applyNumberFormat="1" applyFont="1" applyFill="1" applyBorder="1" applyAlignment="1" applyProtection="1">
      <alignment vertical="center" wrapText="1"/>
    </xf>
    <xf numFmtId="41" fontId="1" fillId="9" borderId="1" xfId="0" applyNumberFormat="1" applyFont="1" applyFill="1" applyBorder="1" applyAlignment="1" applyProtection="1">
      <alignment vertical="center"/>
      <protection locked="0"/>
    </xf>
    <xf numFmtId="3" fontId="3" fillId="9" borderId="1" xfId="14" applyNumberFormat="1" applyFont="1" applyFill="1" applyBorder="1" applyAlignment="1" applyProtection="1">
      <alignment vertical="center" wrapText="1"/>
    </xf>
    <xf numFmtId="0" fontId="15" fillId="10" borderId="18" xfId="1" applyFont="1" applyFill="1" applyBorder="1" applyAlignment="1">
      <alignment horizontal="center" vertical="center"/>
    </xf>
    <xf numFmtId="0" fontId="52" fillId="16" borderId="0" xfId="0" applyFont="1" applyFill="1" applyAlignment="1">
      <alignment horizontal="center" vertical="center" wrapText="1"/>
    </xf>
    <xf numFmtId="0" fontId="52" fillId="14" borderId="0" xfId="0" applyFont="1" applyFill="1" applyAlignment="1">
      <alignment horizontal="center" vertical="center"/>
    </xf>
    <xf numFmtId="173" fontId="52" fillId="14" borderId="0" xfId="0" applyNumberFormat="1" applyFont="1" applyFill="1" applyAlignment="1">
      <alignment horizontal="right" vertical="center"/>
    </xf>
    <xf numFmtId="0" fontId="52" fillId="14" borderId="0" xfId="0" applyFont="1" applyFill="1" applyAlignment="1">
      <alignment horizontal="left" vertical="center"/>
    </xf>
    <xf numFmtId="41" fontId="49" fillId="9" borderId="0" xfId="0" applyNumberFormat="1" applyFont="1" applyFill="1"/>
    <xf numFmtId="3" fontId="49" fillId="9" borderId="0" xfId="0" applyNumberFormat="1" applyFont="1" applyFill="1"/>
    <xf numFmtId="0" fontId="55" fillId="0" borderId="0" xfId="0" applyFont="1" applyProtection="1">
      <protection locked="0"/>
    </xf>
    <xf numFmtId="0" fontId="47" fillId="0" borderId="0" xfId="0" applyFont="1"/>
    <xf numFmtId="41" fontId="66" fillId="9" borderId="0" xfId="14" applyFont="1" applyFill="1" applyBorder="1" applyAlignment="1" applyProtection="1">
      <alignment horizontal="left" vertical="center" wrapText="1"/>
      <protection locked="0"/>
    </xf>
    <xf numFmtId="41" fontId="66" fillId="9" borderId="0" xfId="14" applyFont="1" applyFill="1" applyBorder="1" applyAlignment="1" applyProtection="1">
      <alignment horizontal="left" vertical="center"/>
      <protection locked="0"/>
    </xf>
    <xf numFmtId="1" fontId="2" fillId="2" borderId="1" xfId="14" applyNumberFormat="1" applyFont="1" applyFill="1" applyBorder="1" applyAlignment="1">
      <alignment horizontal="right" vertical="center"/>
    </xf>
    <xf numFmtId="1" fontId="21" fillId="5" borderId="1" xfId="14" applyNumberFormat="1" applyFont="1" applyFill="1" applyBorder="1" applyAlignment="1">
      <alignment horizontal="right"/>
    </xf>
    <xf numFmtId="1" fontId="21" fillId="0" borderId="1" xfId="14" applyNumberFormat="1" applyFont="1" applyFill="1" applyBorder="1" applyAlignment="1">
      <alignment horizontal="right"/>
    </xf>
    <xf numFmtId="3" fontId="4" fillId="2" borderId="2" xfId="0" applyNumberFormat="1" applyFont="1" applyFill="1" applyBorder="1" applyAlignment="1">
      <alignment vertical="center"/>
    </xf>
    <xf numFmtId="3" fontId="2" fillId="5" borderId="2" xfId="0" applyNumberFormat="1" applyFont="1" applyFill="1" applyBorder="1"/>
    <xf numFmtId="1" fontId="1" fillId="0" borderId="2" xfId="14" applyNumberFormat="1" applyFont="1" applyFill="1" applyBorder="1"/>
    <xf numFmtId="41" fontId="1" fillId="0" borderId="2" xfId="14" applyFont="1" applyFill="1" applyBorder="1"/>
    <xf numFmtId="3" fontId="2" fillId="5" borderId="2" xfId="0" applyNumberFormat="1" applyFont="1" applyFill="1" applyBorder="1" applyAlignment="1">
      <alignment vertical="center"/>
    </xf>
    <xf numFmtId="1" fontId="1" fillId="0" borderId="2" xfId="14" applyNumberFormat="1" applyFont="1" applyFill="1" applyBorder="1" applyAlignment="1">
      <alignment vertical="center"/>
    </xf>
    <xf numFmtId="3" fontId="3" fillId="0" borderId="2" xfId="0" applyNumberFormat="1" applyFont="1" applyBorder="1" applyAlignment="1">
      <alignment horizontal="right" vertical="top" wrapText="1"/>
    </xf>
    <xf numFmtId="3" fontId="1" fillId="0" borderId="2" xfId="0" applyNumberFormat="1" applyFont="1" applyBorder="1" applyAlignment="1">
      <alignment horizontal="right" vertical="top" wrapText="1"/>
    </xf>
    <xf numFmtId="3" fontId="21" fillId="5" borderId="2" xfId="0" applyNumberFormat="1" applyFont="1" applyFill="1" applyBorder="1" applyAlignment="1">
      <alignment horizontal="right" vertical="top" wrapText="1"/>
    </xf>
    <xf numFmtId="3" fontId="2" fillId="5" borderId="2" xfId="0" applyNumberFormat="1" applyFont="1" applyFill="1" applyBorder="1" applyAlignment="1">
      <alignment horizontal="right" vertical="top" wrapText="1"/>
    </xf>
    <xf numFmtId="3" fontId="2" fillId="5" borderId="18" xfId="0" applyNumberFormat="1" applyFont="1" applyFill="1" applyBorder="1" applyAlignment="1">
      <alignment vertical="center"/>
    </xf>
    <xf numFmtId="0" fontId="50" fillId="15" borderId="0" xfId="0" applyFont="1" applyFill="1" applyAlignment="1">
      <alignment wrapText="1"/>
    </xf>
    <xf numFmtId="0" fontId="50" fillId="15" borderId="0" xfId="0" applyFont="1" applyFill="1"/>
    <xf numFmtId="0" fontId="51" fillId="27" borderId="0" xfId="0" applyFont="1" applyFill="1" applyAlignment="1">
      <alignment horizontal="center" vertical="center" wrapText="1"/>
    </xf>
    <xf numFmtId="0" fontId="50" fillId="9" borderId="0" xfId="0" applyFont="1" applyFill="1" applyAlignment="1">
      <alignment wrapText="1"/>
    </xf>
    <xf numFmtId="41" fontId="49" fillId="9" borderId="0" xfId="14" applyFont="1" applyFill="1" applyAlignment="1"/>
    <xf numFmtId="0" fontId="50" fillId="9" borderId="0" xfId="0" applyFont="1" applyFill="1"/>
    <xf numFmtId="3" fontId="17" fillId="9" borderId="1" xfId="0" applyNumberFormat="1" applyFont="1" applyFill="1" applyBorder="1" applyAlignment="1">
      <alignment horizontal="right" vertical="center"/>
    </xf>
    <xf numFmtId="3" fontId="17" fillId="9" borderId="1" xfId="0" applyNumberFormat="1" applyFont="1" applyFill="1" applyBorder="1" applyAlignment="1">
      <alignment vertical="center"/>
    </xf>
    <xf numFmtId="49" fontId="21" fillId="0" borderId="1" xfId="0" applyNumberFormat="1" applyFont="1" applyBorder="1" applyAlignment="1">
      <alignment horizontal="right" vertical="center" wrapText="1"/>
    </xf>
    <xf numFmtId="168" fontId="21" fillId="0" borderId="1" xfId="0" applyNumberFormat="1" applyFont="1" applyBorder="1" applyAlignment="1">
      <alignment horizontal="right" vertical="center" wrapText="1"/>
    </xf>
    <xf numFmtId="0" fontId="41" fillId="0" borderId="10" xfId="0" applyFont="1" applyBorder="1" applyAlignment="1">
      <alignment horizontal="center" vertical="center"/>
    </xf>
    <xf numFmtId="0" fontId="0" fillId="0" borderId="50" xfId="0" applyBorder="1" applyAlignment="1">
      <alignment horizontal="center" vertical="center"/>
    </xf>
    <xf numFmtId="1" fontId="0" fillId="0" borderId="50" xfId="14" applyNumberFormat="1" applyFont="1" applyFill="1" applyBorder="1" applyAlignment="1">
      <alignment horizontal="center" vertical="center"/>
    </xf>
    <xf numFmtId="10" fontId="0" fillId="0" borderId="50" xfId="7" applyNumberFormat="1" applyFont="1" applyFill="1" applyBorder="1" applyAlignment="1">
      <alignment horizontal="center" vertical="center"/>
    </xf>
    <xf numFmtId="0" fontId="41" fillId="0" borderId="50" xfId="15" applyFont="1" applyFill="1" applyBorder="1" applyAlignment="1">
      <alignment horizontal="center" vertical="center"/>
    </xf>
    <xf numFmtId="10" fontId="41" fillId="0" borderId="50" xfId="7" applyNumberFormat="1" applyFont="1" applyFill="1" applyBorder="1" applyAlignment="1">
      <alignment horizontal="center" vertical="center"/>
    </xf>
    <xf numFmtId="172" fontId="41" fillId="0" borderId="50" xfId="7" applyNumberFormat="1" applyFont="1" applyFill="1" applyBorder="1" applyAlignment="1">
      <alignment horizontal="center" vertical="center"/>
    </xf>
    <xf numFmtId="0" fontId="32" fillId="0" borderId="50" xfId="15" applyFill="1" applyBorder="1" applyAlignment="1">
      <alignment horizontal="center" vertical="center"/>
    </xf>
    <xf numFmtId="0" fontId="0" fillId="0" borderId="20" xfId="0" applyBorder="1" applyAlignment="1">
      <alignment horizontal="center" vertical="center"/>
    </xf>
    <xf numFmtId="10" fontId="17" fillId="8" borderId="18" xfId="7" applyNumberFormat="1" applyFont="1" applyFill="1" applyBorder="1" applyAlignment="1">
      <alignment horizontal="center" vertical="center"/>
    </xf>
    <xf numFmtId="3" fontId="17" fillId="9" borderId="18" xfId="0" applyNumberFormat="1" applyFont="1" applyFill="1" applyBorder="1" applyAlignment="1">
      <alignment vertical="center"/>
    </xf>
    <xf numFmtId="3" fontId="16" fillId="11" borderId="18" xfId="14" applyNumberFormat="1" applyFont="1" applyFill="1" applyBorder="1" applyAlignment="1" applyProtection="1">
      <alignment horizontal="right" vertical="center"/>
    </xf>
    <xf numFmtId="3" fontId="3" fillId="0" borderId="18" xfId="0" applyNumberFormat="1" applyFont="1" applyBorder="1" applyAlignment="1">
      <alignment horizontal="right" vertical="center" wrapText="1"/>
    </xf>
    <xf numFmtId="3" fontId="1" fillId="0" borderId="18" xfId="0" applyNumberFormat="1" applyFont="1" applyBorder="1" applyAlignment="1">
      <alignment vertical="center"/>
    </xf>
    <xf numFmtId="3" fontId="21" fillId="0" borderId="18" xfId="0" applyNumberFormat="1" applyFont="1" applyBorder="1" applyAlignment="1">
      <alignment horizontal="right" vertical="center" wrapText="1"/>
    </xf>
    <xf numFmtId="3" fontId="2" fillId="9" borderId="18" xfId="0" applyNumberFormat="1" applyFont="1" applyFill="1" applyBorder="1" applyAlignment="1">
      <alignment horizontal="right" vertical="center" wrapText="1"/>
    </xf>
    <xf numFmtId="3" fontId="3" fillId="0" borderId="18" xfId="0" applyNumberFormat="1" applyFont="1" applyBorder="1" applyAlignment="1">
      <alignment horizontal="right" vertical="center"/>
    </xf>
    <xf numFmtId="3" fontId="1" fillId="0" borderId="18" xfId="14" applyNumberFormat="1" applyFont="1" applyFill="1" applyBorder="1" applyAlignment="1">
      <alignment horizontal="right" vertical="center"/>
    </xf>
    <xf numFmtId="3" fontId="21" fillId="5" borderId="43" xfId="0" applyNumberFormat="1" applyFont="1" applyFill="1" applyBorder="1" applyAlignment="1">
      <alignment horizontal="right" vertical="center" wrapText="1"/>
    </xf>
    <xf numFmtId="3" fontId="2" fillId="5" borderId="43" xfId="0" applyNumberFormat="1" applyFont="1" applyFill="1" applyBorder="1" applyAlignment="1">
      <alignment vertical="center"/>
    </xf>
    <xf numFmtId="3" fontId="2" fillId="5" borderId="24" xfId="0" applyNumberFormat="1" applyFont="1" applyFill="1" applyBorder="1" applyAlignment="1">
      <alignment vertical="center"/>
    </xf>
    <xf numFmtId="10" fontId="17" fillId="8" borderId="2" xfId="7" applyNumberFormat="1" applyFont="1" applyFill="1" applyBorder="1" applyAlignment="1">
      <alignment horizontal="center" vertical="center"/>
    </xf>
    <xf numFmtId="3" fontId="21" fillId="5" borderId="26" xfId="14" applyNumberFormat="1" applyFont="1" applyFill="1" applyBorder="1" applyAlignment="1">
      <alignment vertical="center" wrapText="1"/>
    </xf>
    <xf numFmtId="10" fontId="21" fillId="5" borderId="26" xfId="7" applyNumberFormat="1" applyFont="1" applyFill="1" applyBorder="1" applyAlignment="1">
      <alignment horizontal="center" vertical="center" wrapText="1"/>
    </xf>
    <xf numFmtId="10" fontId="21" fillId="5" borderId="26" xfId="7" applyNumberFormat="1" applyFont="1" applyFill="1" applyBorder="1" applyAlignment="1" applyProtection="1">
      <alignment horizontal="center" vertical="center" wrapText="1"/>
    </xf>
    <xf numFmtId="3" fontId="2" fillId="5" borderId="26" xfId="0" applyNumberFormat="1" applyFont="1" applyFill="1" applyBorder="1" applyAlignment="1">
      <alignment horizontal="right" vertical="center"/>
    </xf>
    <xf numFmtId="3" fontId="2" fillId="5" borderId="44" xfId="0" applyNumberFormat="1" applyFont="1" applyFill="1" applyBorder="1" applyAlignment="1">
      <alignment horizontal="right" vertical="center"/>
    </xf>
    <xf numFmtId="10" fontId="21" fillId="5" borderId="27" xfId="7" applyNumberFormat="1" applyFont="1" applyFill="1" applyBorder="1" applyAlignment="1">
      <alignment horizontal="center" vertical="center" wrapText="1"/>
    </xf>
    <xf numFmtId="3" fontId="17" fillId="9" borderId="2" xfId="0" applyNumberFormat="1" applyFont="1" applyFill="1" applyBorder="1" applyAlignment="1">
      <alignment horizontal="right" vertical="center"/>
    </xf>
    <xf numFmtId="3" fontId="21" fillId="5" borderId="48" xfId="0" applyNumberFormat="1" applyFont="1" applyFill="1" applyBorder="1" applyAlignment="1">
      <alignment horizontal="right" vertical="center" wrapText="1"/>
    </xf>
    <xf numFmtId="0" fontId="2" fillId="5" borderId="51" xfId="0" applyFont="1" applyFill="1" applyBorder="1" applyAlignment="1">
      <alignment vertical="center"/>
    </xf>
    <xf numFmtId="3" fontId="21" fillId="5" borderId="44" xfId="0" applyNumberFormat="1" applyFont="1" applyFill="1" applyBorder="1" applyAlignment="1">
      <alignment vertical="center" wrapText="1"/>
    </xf>
    <xf numFmtId="10" fontId="21" fillId="5" borderId="27" xfId="7" applyNumberFormat="1" applyFont="1" applyFill="1" applyBorder="1" applyAlignment="1" applyProtection="1">
      <alignment horizontal="center" vertical="center" wrapText="1"/>
    </xf>
    <xf numFmtId="10" fontId="3" fillId="0" borderId="1" xfId="7" applyNumberFormat="1" applyFont="1" applyFill="1" applyBorder="1" applyAlignment="1">
      <alignment horizontal="center" vertical="center" wrapText="1"/>
    </xf>
    <xf numFmtId="41" fontId="54" fillId="0" borderId="0" xfId="14" applyFont="1" applyFill="1"/>
    <xf numFmtId="0" fontId="21" fillId="5" borderId="16" xfId="0" applyFont="1" applyFill="1" applyBorder="1" applyAlignment="1">
      <alignment horizontal="center" vertical="center" wrapText="1"/>
    </xf>
    <xf numFmtId="167" fontId="21" fillId="5" borderId="46" xfId="0" applyNumberFormat="1" applyFont="1" applyFill="1" applyBorder="1" applyAlignment="1">
      <alignment horizontal="center" vertical="center" wrapText="1"/>
    </xf>
    <xf numFmtId="168" fontId="21" fillId="5" borderId="46" xfId="0" applyNumberFormat="1" applyFont="1" applyFill="1" applyBorder="1" applyAlignment="1">
      <alignment horizontal="center" vertical="center" wrapText="1"/>
    </xf>
    <xf numFmtId="168" fontId="21" fillId="5" borderId="46" xfId="0" applyNumberFormat="1" applyFont="1" applyFill="1" applyBorder="1" applyAlignment="1">
      <alignment vertical="center" wrapText="1"/>
    </xf>
    <xf numFmtId="0" fontId="21" fillId="5" borderId="46" xfId="0" applyFont="1" applyFill="1" applyBorder="1" applyAlignment="1">
      <alignment vertical="center"/>
    </xf>
    <xf numFmtId="3" fontId="21" fillId="5" borderId="46" xfId="0" applyNumberFormat="1" applyFont="1" applyFill="1" applyBorder="1" applyAlignment="1">
      <alignment vertical="center" wrapText="1"/>
    </xf>
    <xf numFmtId="10" fontId="21" fillId="5" borderId="46" xfId="7" applyNumberFormat="1" applyFont="1" applyFill="1" applyBorder="1" applyAlignment="1" applyProtection="1">
      <alignment horizontal="center" vertical="center"/>
    </xf>
    <xf numFmtId="3" fontId="21" fillId="5" borderId="46" xfId="0" applyNumberFormat="1" applyFont="1" applyFill="1" applyBorder="1" applyAlignment="1">
      <alignment vertical="center"/>
    </xf>
    <xf numFmtId="10" fontId="21" fillId="5" borderId="17" xfId="7" applyNumberFormat="1" applyFont="1" applyFill="1" applyBorder="1" applyAlignment="1" applyProtection="1">
      <alignment horizontal="center" vertical="center"/>
    </xf>
    <xf numFmtId="3" fontId="21" fillId="5" borderId="47" xfId="0" applyNumberFormat="1" applyFont="1" applyFill="1" applyBorder="1" applyAlignment="1" applyProtection="1">
      <alignment vertical="center"/>
      <protection locked="0"/>
    </xf>
    <xf numFmtId="3" fontId="21" fillId="5" borderId="46"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17" xfId="14" applyNumberFormat="1" applyFont="1" applyFill="1" applyBorder="1" applyAlignment="1" applyProtection="1">
      <alignment horizontal="right" vertical="center" wrapText="1"/>
    </xf>
    <xf numFmtId="167" fontId="1" fillId="0" borderId="4"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168" fontId="1" fillId="0" borderId="4" xfId="0" quotePrefix="1" applyNumberFormat="1" applyFont="1" applyBorder="1" applyAlignment="1">
      <alignment horizontal="center" vertical="center" wrapText="1"/>
    </xf>
    <xf numFmtId="168" fontId="1" fillId="0" borderId="4" xfId="0" applyNumberFormat="1" applyFont="1" applyBorder="1" applyAlignment="1">
      <alignment vertical="center" wrapText="1"/>
    </xf>
    <xf numFmtId="0" fontId="3" fillId="0" borderId="4" xfId="0" applyFont="1" applyBorder="1" applyAlignment="1">
      <alignment vertical="center"/>
    </xf>
    <xf numFmtId="41" fontId="3" fillId="0" borderId="4" xfId="14" applyFont="1" applyFill="1" applyBorder="1" applyAlignment="1" applyProtection="1">
      <protection locked="0"/>
    </xf>
    <xf numFmtId="3" fontId="3" fillId="0" borderId="4" xfId="0" applyNumberFormat="1" applyFont="1" applyBorder="1" applyAlignment="1">
      <alignment vertical="center" wrapText="1"/>
    </xf>
    <xf numFmtId="10" fontId="3" fillId="0" borderId="4" xfId="7" applyNumberFormat="1" applyFont="1" applyFill="1" applyBorder="1" applyAlignment="1" applyProtection="1">
      <alignment horizontal="center" vertical="center" wrapText="1"/>
    </xf>
    <xf numFmtId="10" fontId="3" fillId="0" borderId="4" xfId="7" applyNumberFormat="1" applyFont="1" applyFill="1" applyBorder="1" applyAlignment="1" applyProtection="1">
      <alignment horizontal="center" vertical="center"/>
    </xf>
    <xf numFmtId="3" fontId="21" fillId="0" borderId="4" xfId="14" applyNumberFormat="1" applyFont="1" applyFill="1" applyBorder="1" applyAlignment="1" applyProtection="1">
      <alignment vertical="center"/>
    </xf>
    <xf numFmtId="3" fontId="3" fillId="0" borderId="4" xfId="0" applyNumberFormat="1" applyFont="1" applyBorder="1" applyAlignment="1">
      <alignment horizontal="right" vertical="center"/>
    </xf>
    <xf numFmtId="3" fontId="3" fillId="0" borderId="4" xfId="0" applyNumberFormat="1" applyFont="1" applyBorder="1" applyAlignment="1">
      <alignment horizontal="right" vertical="center" wrapText="1"/>
    </xf>
    <xf numFmtId="10" fontId="1" fillId="0" borderId="23" xfId="7" applyNumberFormat="1" applyFont="1" applyFill="1" applyBorder="1" applyAlignment="1" applyProtection="1">
      <alignment horizontal="center" vertical="center"/>
    </xf>
    <xf numFmtId="3" fontId="3" fillId="0" borderId="52" xfId="14" applyNumberFormat="1" applyFont="1" applyFill="1" applyBorder="1" applyAlignment="1" applyProtection="1">
      <alignment horizontal="right" vertical="center"/>
    </xf>
    <xf numFmtId="3" fontId="3" fillId="0" borderId="23" xfId="14" applyNumberFormat="1" applyFont="1" applyFill="1" applyBorder="1" applyAlignment="1" applyProtection="1">
      <alignment horizontal="right" vertical="center"/>
    </xf>
    <xf numFmtId="3" fontId="1" fillId="0" borderId="23" xfId="14" applyNumberFormat="1" applyFont="1" applyFill="1" applyBorder="1" applyAlignment="1" applyProtection="1">
      <alignment horizontal="right"/>
      <protection locked="0"/>
    </xf>
    <xf numFmtId="0" fontId="1" fillId="0" borderId="52" xfId="0" applyFont="1" applyBorder="1" applyAlignment="1">
      <alignment horizontal="center" vertical="center" wrapText="1"/>
    </xf>
    <xf numFmtId="0" fontId="15" fillId="10" borderId="42" xfId="1" applyFont="1" applyFill="1" applyBorder="1" applyAlignment="1">
      <alignment vertical="center"/>
    </xf>
    <xf numFmtId="3" fontId="4" fillId="2" borderId="2" xfId="0" applyNumberFormat="1" applyFont="1" applyFill="1" applyBorder="1" applyAlignment="1" applyProtection="1">
      <alignment horizontal="center" vertical="center"/>
      <protection locked="0"/>
    </xf>
    <xf numFmtId="3" fontId="2" fillId="2" borderId="2" xfId="0" applyNumberFormat="1" applyFont="1" applyFill="1" applyBorder="1" applyAlignment="1" applyProtection="1">
      <alignment vertical="center"/>
      <protection locked="0"/>
    </xf>
    <xf numFmtId="3" fontId="3" fillId="9" borderId="2" xfId="0" applyNumberFormat="1" applyFont="1" applyFill="1" applyBorder="1" applyAlignment="1" applyProtection="1">
      <alignment horizontal="right" vertical="center"/>
      <protection locked="0"/>
    </xf>
    <xf numFmtId="3" fontId="3" fillId="9" borderId="2" xfId="0" applyNumberFormat="1" applyFont="1" applyFill="1" applyBorder="1" applyAlignment="1">
      <alignment horizontal="right" vertical="center"/>
    </xf>
    <xf numFmtId="3" fontId="3" fillId="5" borderId="2"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3" fontId="21" fillId="5" borderId="2" xfId="0" applyNumberFormat="1" applyFont="1" applyFill="1" applyBorder="1" applyAlignment="1">
      <alignment horizontal="right" vertical="center"/>
    </xf>
    <xf numFmtId="3" fontId="3" fillId="0" borderId="2" xfId="16" applyNumberFormat="1" applyFont="1" applyFill="1" applyBorder="1" applyAlignment="1" applyProtection="1">
      <alignment horizontal="right" vertical="center"/>
    </xf>
    <xf numFmtId="0" fontId="21" fillId="5" borderId="44" xfId="0" applyFont="1" applyFill="1" applyBorder="1" applyAlignment="1">
      <alignment horizontal="left" vertical="center" wrapText="1"/>
    </xf>
    <xf numFmtId="167" fontId="21" fillId="5" borderId="26" xfId="0" applyNumberFormat="1" applyFont="1" applyFill="1" applyBorder="1" applyAlignment="1">
      <alignment horizontal="left" vertical="center" wrapText="1"/>
    </xf>
    <xf numFmtId="168" fontId="3" fillId="5" borderId="26" xfId="0" applyNumberFormat="1" applyFont="1" applyFill="1" applyBorder="1" applyAlignment="1">
      <alignment vertical="center" wrapText="1"/>
    </xf>
    <xf numFmtId="168" fontId="3" fillId="5" borderId="26" xfId="0" applyNumberFormat="1" applyFont="1" applyFill="1" applyBorder="1" applyAlignment="1">
      <alignment vertical="center"/>
    </xf>
    <xf numFmtId="172" fontId="21" fillId="5" borderId="26" xfId="7" applyNumberFormat="1" applyFont="1" applyFill="1" applyBorder="1" applyAlignment="1" applyProtection="1">
      <alignment horizontal="center" vertical="center" wrapText="1"/>
    </xf>
    <xf numFmtId="3" fontId="21" fillId="5" borderId="26" xfId="7" applyNumberFormat="1" applyFont="1" applyFill="1" applyBorder="1" applyAlignment="1" applyProtection="1">
      <alignment horizontal="right" vertical="center" wrapText="1"/>
    </xf>
    <xf numFmtId="3" fontId="21" fillId="5" borderId="26" xfId="0" applyNumberFormat="1" applyFont="1" applyFill="1" applyBorder="1" applyAlignment="1">
      <alignment horizontal="center" vertical="center"/>
    </xf>
    <xf numFmtId="3" fontId="21" fillId="5" borderId="24" xfId="14" applyNumberFormat="1" applyFont="1" applyFill="1" applyBorder="1" applyAlignment="1" applyProtection="1">
      <alignment vertical="center"/>
    </xf>
    <xf numFmtId="0" fontId="3" fillId="0" borderId="15" xfId="0" applyFont="1" applyBorder="1" applyAlignment="1">
      <alignment horizontal="left" vertical="center" wrapText="1"/>
    </xf>
    <xf numFmtId="167" fontId="3" fillId="0" borderId="14" xfId="0" applyNumberFormat="1" applyFont="1" applyBorder="1" applyAlignment="1">
      <alignment horizontal="left" vertical="center" wrapText="1"/>
    </xf>
    <xf numFmtId="168" fontId="3" fillId="0" borderId="14" xfId="0" applyNumberFormat="1" applyFont="1" applyBorder="1" applyAlignment="1">
      <alignment vertical="center" wrapText="1"/>
    </xf>
    <xf numFmtId="168" fontId="3" fillId="0" borderId="14" xfId="0" applyNumberFormat="1" applyFont="1" applyBorder="1" applyAlignment="1">
      <alignment vertical="center"/>
    </xf>
    <xf numFmtId="0" fontId="3" fillId="9" borderId="14" xfId="0" applyFont="1" applyFill="1" applyBorder="1" applyAlignment="1">
      <alignment horizontal="left" vertical="center"/>
    </xf>
    <xf numFmtId="3" fontId="3" fillId="9" borderId="14" xfId="0" applyNumberFormat="1" applyFont="1" applyFill="1" applyBorder="1" applyAlignment="1">
      <alignment horizontal="right" vertical="center" wrapText="1"/>
    </xf>
    <xf numFmtId="172" fontId="3" fillId="9" borderId="14" xfId="7" applyNumberFormat="1" applyFont="1" applyFill="1" applyBorder="1" applyAlignment="1" applyProtection="1">
      <alignment horizontal="center" vertical="center" wrapText="1"/>
    </xf>
    <xf numFmtId="3" fontId="1" fillId="9" borderId="14" xfId="8" applyNumberFormat="1" applyFont="1" applyFill="1" applyBorder="1" applyAlignment="1" applyProtection="1">
      <alignment horizontal="right" vertical="center"/>
      <protection locked="0"/>
    </xf>
    <xf numFmtId="3" fontId="3" fillId="9" borderId="14" xfId="7" applyNumberFormat="1" applyFont="1" applyFill="1" applyBorder="1" applyAlignment="1" applyProtection="1">
      <alignment horizontal="right" vertical="center" wrapText="1"/>
    </xf>
    <xf numFmtId="10" fontId="3" fillId="9" borderId="14" xfId="7" applyNumberFormat="1" applyFont="1" applyFill="1" applyBorder="1" applyAlignment="1" applyProtection="1">
      <alignment horizontal="center" vertical="center" wrapText="1"/>
    </xf>
    <xf numFmtId="3" fontId="3" fillId="9" borderId="14" xfId="0" applyNumberFormat="1" applyFont="1" applyFill="1" applyBorder="1" applyAlignment="1">
      <alignment horizontal="center" vertical="center"/>
    </xf>
    <xf numFmtId="3" fontId="1" fillId="0" borderId="19" xfId="14" applyNumberFormat="1" applyFont="1" applyFill="1" applyBorder="1" applyAlignment="1" applyProtection="1">
      <alignment vertical="center" wrapText="1"/>
    </xf>
    <xf numFmtId="172" fontId="3" fillId="0" borderId="49" xfId="7" applyNumberFormat="1" applyFont="1" applyFill="1" applyBorder="1" applyAlignment="1" applyProtection="1">
      <alignment horizontal="center" vertical="center"/>
    </xf>
    <xf numFmtId="172" fontId="21" fillId="5" borderId="51" xfId="7" applyNumberFormat="1" applyFont="1" applyFill="1" applyBorder="1" applyAlignment="1" applyProtection="1">
      <alignment horizontal="center" vertical="center"/>
    </xf>
    <xf numFmtId="41" fontId="3" fillId="0" borderId="15" xfId="14" applyFont="1" applyFill="1" applyBorder="1" applyAlignment="1" applyProtection="1">
      <alignment horizontal="center" vertical="center"/>
    </xf>
    <xf numFmtId="3" fontId="3" fillId="0" borderId="19" xfId="14" applyNumberFormat="1" applyFont="1" applyFill="1" applyBorder="1" applyAlignment="1" applyProtection="1">
      <alignment vertical="center"/>
    </xf>
    <xf numFmtId="3" fontId="21" fillId="5" borderId="13" xfId="14" applyNumberFormat="1" applyFont="1" applyFill="1" applyBorder="1" applyAlignment="1" applyProtection="1">
      <alignment vertical="center"/>
    </xf>
    <xf numFmtId="3" fontId="3" fillId="0" borderId="15" xfId="14" applyNumberFormat="1" applyFont="1" applyFill="1" applyBorder="1" applyAlignment="1" applyProtection="1">
      <alignment vertical="center"/>
    </xf>
    <xf numFmtId="41" fontId="21" fillId="5" borderId="1" xfId="14" applyFont="1" applyFill="1" applyBorder="1" applyAlignment="1" applyProtection="1">
      <alignment vertical="center"/>
    </xf>
    <xf numFmtId="0" fontId="0" fillId="0" borderId="10" xfId="0" applyBorder="1"/>
    <xf numFmtId="0" fontId="0" fillId="0" borderId="50" xfId="0" applyBorder="1"/>
    <xf numFmtId="172" fontId="0" fillId="0" borderId="50" xfId="7" applyNumberFormat="1" applyFont="1" applyBorder="1"/>
    <xf numFmtId="10" fontId="0" fillId="0" borderId="50" xfId="7" applyNumberFormat="1" applyFont="1" applyBorder="1"/>
    <xf numFmtId="0" fontId="32" fillId="0" borderId="50" xfId="15" applyFill="1" applyBorder="1" applyAlignment="1">
      <alignment horizontal="center"/>
    </xf>
    <xf numFmtId="41" fontId="0" fillId="0" borderId="50" xfId="14" applyFont="1" applyBorder="1"/>
    <xf numFmtId="168" fontId="27" fillId="13" borderId="53" xfId="0" applyNumberFormat="1" applyFont="1" applyFill="1" applyBorder="1" applyAlignment="1" applyProtection="1">
      <alignment vertical="center"/>
      <protection locked="0"/>
    </xf>
    <xf numFmtId="168" fontId="1" fillId="0" borderId="30" xfId="0" applyNumberFormat="1" applyFont="1" applyBorder="1" applyProtection="1">
      <protection locked="0"/>
    </xf>
    <xf numFmtId="168" fontId="1" fillId="0" borderId="31" xfId="0" applyNumberFormat="1" applyFont="1" applyBorder="1" applyProtection="1">
      <protection locked="0"/>
    </xf>
    <xf numFmtId="0" fontId="27" fillId="13" borderId="25" xfId="0" applyFont="1" applyFill="1" applyBorder="1" applyAlignment="1" applyProtection="1">
      <alignment horizontal="center" vertical="center"/>
      <protection locked="0"/>
    </xf>
    <xf numFmtId="0" fontId="1" fillId="0" borderId="45" xfId="0" applyFont="1" applyBorder="1" applyProtection="1">
      <protection locked="0"/>
    </xf>
    <xf numFmtId="168" fontId="27" fillId="13" borderId="5" xfId="0" applyNumberFormat="1" applyFont="1" applyFill="1" applyBorder="1" applyAlignment="1" applyProtection="1">
      <alignment vertical="center"/>
      <protection locked="0"/>
    </xf>
    <xf numFmtId="168" fontId="1" fillId="0" borderId="54" xfId="0" applyNumberFormat="1" applyFont="1" applyBorder="1" applyProtection="1">
      <protection locked="0"/>
    </xf>
    <xf numFmtId="0" fontId="27" fillId="13" borderId="53" xfId="0" applyFont="1" applyFill="1" applyBorder="1" applyAlignment="1" applyProtection="1">
      <alignment horizontal="center" vertical="center"/>
      <protection locked="0"/>
    </xf>
    <xf numFmtId="3" fontId="1" fillId="5" borderId="44" xfId="14" applyNumberFormat="1" applyFont="1" applyFill="1" applyBorder="1" applyAlignment="1" applyProtection="1">
      <alignment horizontal="right" vertical="center" wrapText="1"/>
    </xf>
    <xf numFmtId="3" fontId="21" fillId="5" borderId="51" xfId="7" applyNumberFormat="1" applyFont="1" applyFill="1" applyBorder="1" applyAlignment="1">
      <alignment horizontal="right" vertical="center" wrapText="1"/>
    </xf>
    <xf numFmtId="3" fontId="21" fillId="5" borderId="44" xfId="7" applyNumberFormat="1" applyFont="1" applyFill="1" applyBorder="1" applyAlignment="1">
      <alignment horizontal="right" vertical="center" wrapText="1"/>
    </xf>
    <xf numFmtId="3" fontId="2" fillId="5" borderId="27" xfId="14" applyNumberFormat="1" applyFont="1" applyFill="1" applyBorder="1" applyAlignment="1">
      <alignment horizontal="right" vertical="center"/>
    </xf>
    <xf numFmtId="3" fontId="14" fillId="0" borderId="1" xfId="14" applyNumberFormat="1" applyFont="1" applyBorder="1" applyAlignment="1">
      <alignment horizontal="center" vertical="center" wrapText="1"/>
    </xf>
    <xf numFmtId="3" fontId="3" fillId="0" borderId="1" xfId="7" applyNumberFormat="1" applyFont="1" applyFill="1" applyBorder="1" applyAlignment="1">
      <alignment horizontal="right" vertical="center" wrapText="1"/>
    </xf>
    <xf numFmtId="3" fontId="1" fillId="0" borderId="3" xfId="0" applyNumberFormat="1" applyFont="1" applyBorder="1" applyAlignment="1" applyProtection="1">
      <alignment vertical="center"/>
      <protection locked="0"/>
    </xf>
    <xf numFmtId="3" fontId="1" fillId="0" borderId="4" xfId="0" applyNumberFormat="1" applyFont="1" applyBorder="1" applyAlignment="1" applyProtection="1">
      <alignment vertical="center"/>
      <protection locked="0"/>
    </xf>
    <xf numFmtId="3" fontId="1" fillId="0" borderId="23" xfId="0" applyNumberFormat="1" applyFont="1" applyBorder="1" applyAlignment="1">
      <alignment horizontal="right" vertical="center" wrapText="1"/>
    </xf>
    <xf numFmtId="170" fontId="1" fillId="8" borderId="1" xfId="0" applyNumberFormat="1" applyFont="1" applyFill="1" applyBorder="1" applyAlignment="1">
      <alignment horizontal="center" vertical="center"/>
    </xf>
    <xf numFmtId="167" fontId="1" fillId="8" borderId="1" xfId="0" applyNumberFormat="1" applyFont="1" applyFill="1" applyBorder="1" applyAlignment="1">
      <alignment horizontal="center" vertical="center"/>
    </xf>
    <xf numFmtId="168" fontId="1" fillId="8" borderId="1" xfId="0" applyNumberFormat="1" applyFont="1" applyFill="1" applyBorder="1" applyAlignment="1">
      <alignment horizontal="center" vertical="center"/>
    </xf>
    <xf numFmtId="168" fontId="1" fillId="8" borderId="1" xfId="0" applyNumberFormat="1" applyFont="1" applyFill="1" applyBorder="1" applyAlignment="1">
      <alignment vertical="center"/>
    </xf>
    <xf numFmtId="0" fontId="1" fillId="8" borderId="1" xfId="0" applyFont="1" applyFill="1" applyBorder="1" applyAlignment="1">
      <alignment vertical="center"/>
    </xf>
    <xf numFmtId="3" fontId="1" fillId="8" borderId="1" xfId="0" applyNumberFormat="1" applyFont="1" applyFill="1" applyBorder="1" applyAlignment="1">
      <alignment vertical="center"/>
    </xf>
    <xf numFmtId="10" fontId="1" fillId="8" borderId="1" xfId="7" applyNumberFormat="1" applyFont="1" applyFill="1" applyBorder="1" applyAlignment="1">
      <alignment horizontal="center" vertical="center"/>
    </xf>
    <xf numFmtId="10" fontId="1" fillId="8" borderId="1" xfId="0" applyNumberFormat="1" applyFont="1" applyFill="1" applyBorder="1" applyAlignment="1">
      <alignment horizontal="center" vertical="center"/>
    </xf>
    <xf numFmtId="10" fontId="1" fillId="8" borderId="1" xfId="0" applyNumberFormat="1" applyFont="1" applyFill="1" applyBorder="1" applyAlignment="1">
      <alignment vertical="center"/>
    </xf>
    <xf numFmtId="3" fontId="1" fillId="8" borderId="1" xfId="14" applyNumberFormat="1" applyFont="1" applyFill="1" applyBorder="1" applyAlignment="1" applyProtection="1">
      <alignment horizontal="right" vertical="center"/>
    </xf>
    <xf numFmtId="3" fontId="2" fillId="2" borderId="1" xfId="14" applyNumberFormat="1" applyFont="1" applyFill="1" applyBorder="1" applyAlignment="1" applyProtection="1">
      <alignment horizontal="right" vertical="center" wrapText="1"/>
      <protection locked="0"/>
    </xf>
    <xf numFmtId="3" fontId="3" fillId="0" borderId="1" xfId="14" applyNumberFormat="1" applyFont="1" applyFill="1" applyBorder="1" applyAlignment="1" applyProtection="1">
      <alignment horizontal="right" vertical="center"/>
    </xf>
    <xf numFmtId="3" fontId="21" fillId="0" borderId="1" xfId="14" applyNumberFormat="1" applyFont="1" applyFill="1" applyBorder="1" applyAlignment="1" applyProtection="1">
      <alignment horizontal="right" vertical="center"/>
      <protection locked="0"/>
    </xf>
    <xf numFmtId="3" fontId="3" fillId="5" borderId="1" xfId="14" applyNumberFormat="1" applyFont="1" applyFill="1" applyBorder="1" applyAlignment="1" applyProtection="1">
      <alignment horizontal="right" vertical="center"/>
    </xf>
    <xf numFmtId="3" fontId="21" fillId="9" borderId="1" xfId="14" applyNumberFormat="1" applyFont="1" applyFill="1" applyBorder="1" applyAlignment="1" applyProtection="1">
      <alignment horizontal="right" vertical="center"/>
      <protection locked="0"/>
    </xf>
    <xf numFmtId="3" fontId="1" fillId="9" borderId="1" xfId="14" applyNumberFormat="1" applyFont="1" applyFill="1" applyBorder="1" applyAlignment="1" applyProtection="1">
      <alignment horizontal="right" vertical="center"/>
    </xf>
    <xf numFmtId="0" fontId="17" fillId="9" borderId="1" xfId="0" applyFont="1" applyFill="1" applyBorder="1" applyAlignment="1">
      <alignment horizontal="center" vertical="center" wrapText="1"/>
    </xf>
    <xf numFmtId="3" fontId="1" fillId="9" borderId="1" xfId="14" applyNumberFormat="1" applyFont="1" applyFill="1" applyBorder="1" applyAlignment="1" applyProtection="1">
      <alignment horizontal="right"/>
      <protection locked="0"/>
    </xf>
    <xf numFmtId="0" fontId="2" fillId="5" borderId="1" xfId="0" applyFont="1" applyFill="1" applyBorder="1" applyAlignment="1">
      <alignment horizontal="center" vertical="center" wrapText="1"/>
    </xf>
    <xf numFmtId="3" fontId="21" fillId="5" borderId="1" xfId="14" applyNumberFormat="1" applyFont="1" applyFill="1" applyBorder="1" applyAlignment="1" applyProtection="1">
      <alignment horizontal="right" vertical="center"/>
    </xf>
    <xf numFmtId="3" fontId="2" fillId="5" borderId="1" xfId="14" applyNumberFormat="1" applyFont="1" applyFill="1" applyBorder="1" applyAlignment="1" applyProtection="1">
      <alignment horizontal="right" vertical="center"/>
    </xf>
    <xf numFmtId="10" fontId="1" fillId="9" borderId="1" xfId="7" applyNumberFormat="1" applyFont="1" applyFill="1" applyBorder="1" applyAlignment="1" applyProtection="1">
      <alignment horizontal="center" vertical="center"/>
    </xf>
    <xf numFmtId="170" fontId="3" fillId="0" borderId="1" xfId="0" applyNumberFormat="1" applyFont="1" applyBorder="1" applyAlignment="1">
      <alignment vertical="center"/>
    </xf>
    <xf numFmtId="170" fontId="3" fillId="0" borderId="1" xfId="0" applyNumberFormat="1" applyFont="1" applyBorder="1" applyAlignment="1">
      <alignment horizontal="center" vertical="center"/>
    </xf>
    <xf numFmtId="172" fontId="3" fillId="0" borderId="1" xfId="7" applyNumberFormat="1" applyFont="1" applyFill="1" applyBorder="1" applyAlignment="1">
      <alignment vertical="center"/>
    </xf>
    <xf numFmtId="10" fontId="3" fillId="0" borderId="1" xfId="7" applyNumberFormat="1" applyFont="1" applyFill="1" applyBorder="1" applyAlignment="1" applyProtection="1">
      <alignment vertical="center"/>
    </xf>
    <xf numFmtId="41" fontId="3" fillId="0" borderId="1" xfId="14" applyFont="1" applyFill="1" applyBorder="1" applyAlignment="1">
      <alignment vertical="center"/>
    </xf>
    <xf numFmtId="41" fontId="3" fillId="0" borderId="1" xfId="14" applyFont="1" applyFill="1" applyBorder="1" applyAlignment="1" applyProtection="1">
      <alignment horizontal="center" vertical="center"/>
      <protection locked="0"/>
    </xf>
    <xf numFmtId="3" fontId="3" fillId="0" borderId="1" xfId="14" applyNumberFormat="1" applyFont="1" applyFill="1" applyBorder="1" applyAlignment="1" applyProtection="1">
      <alignment horizontal="center" vertical="center"/>
      <protection locked="0"/>
    </xf>
    <xf numFmtId="41" fontId="1" fillId="0" borderId="1" xfId="14" applyFont="1" applyBorder="1" applyAlignment="1">
      <alignment horizontal="center" vertical="center" wrapText="1"/>
    </xf>
    <xf numFmtId="41" fontId="2" fillId="2" borderId="1" xfId="14" applyFont="1" applyFill="1" applyBorder="1" applyAlignment="1" applyProtection="1">
      <alignment vertical="center"/>
      <protection locked="0"/>
    </xf>
    <xf numFmtId="41" fontId="21" fillId="5" borderId="1" xfId="14" applyFont="1" applyFill="1" applyBorder="1" applyAlignment="1">
      <alignment vertical="center" wrapText="1"/>
    </xf>
    <xf numFmtId="41" fontId="21" fillId="9" borderId="1" xfId="14" applyFont="1" applyFill="1" applyBorder="1" applyAlignment="1" applyProtection="1">
      <alignment horizontal="center" vertical="center"/>
    </xf>
    <xf numFmtId="170" fontId="1" fillId="9" borderId="1" xfId="0" applyNumberFormat="1" applyFont="1" applyFill="1" applyBorder="1"/>
    <xf numFmtId="170" fontId="1" fillId="9" borderId="1" xfId="0" applyNumberFormat="1" applyFont="1" applyFill="1" applyBorder="1" applyAlignment="1">
      <alignment horizontal="center" vertical="center"/>
    </xf>
    <xf numFmtId="3" fontId="3" fillId="9" borderId="1" xfId="14" applyNumberFormat="1" applyFont="1" applyFill="1" applyBorder="1" applyAlignment="1" applyProtection="1">
      <alignment horizontal="center" vertical="center"/>
      <protection locked="0"/>
    </xf>
    <xf numFmtId="170" fontId="1" fillId="9" borderId="1" xfId="0" applyNumberFormat="1" applyFont="1" applyFill="1" applyBorder="1" applyAlignment="1">
      <alignment horizontal="center"/>
    </xf>
    <xf numFmtId="172" fontId="1" fillId="9" borderId="1" xfId="7" applyNumberFormat="1" applyFont="1" applyFill="1" applyBorder="1" applyAlignment="1">
      <alignment horizontal="center"/>
    </xf>
    <xf numFmtId="10" fontId="1" fillId="9" borderId="1" xfId="7" applyNumberFormat="1" applyFont="1" applyFill="1" applyBorder="1" applyAlignment="1">
      <alignment horizontal="center"/>
    </xf>
    <xf numFmtId="3" fontId="1" fillId="9" borderId="1" xfId="14" applyNumberFormat="1" applyFont="1" applyFill="1" applyBorder="1" applyAlignment="1">
      <alignment horizontal="center"/>
    </xf>
    <xf numFmtId="3" fontId="1" fillId="9" borderId="1" xfId="0" applyNumberFormat="1" applyFont="1" applyFill="1" applyBorder="1" applyAlignment="1">
      <alignment horizontal="center"/>
    </xf>
    <xf numFmtId="0" fontId="2" fillId="5" borderId="1" xfId="0" applyFont="1" applyFill="1" applyBorder="1" applyAlignment="1">
      <alignment horizontal="left" vertical="top" wrapText="1"/>
    </xf>
    <xf numFmtId="10" fontId="2" fillId="5" borderId="1" xfId="7" applyNumberFormat="1" applyFont="1" applyFill="1" applyBorder="1" applyAlignment="1">
      <alignment horizontal="center"/>
    </xf>
    <xf numFmtId="0" fontId="2" fillId="0" borderId="1" xfId="0" applyFont="1" applyBorder="1" applyAlignment="1">
      <alignment horizontal="left" vertical="top" wrapText="1"/>
    </xf>
    <xf numFmtId="10" fontId="1" fillId="0" borderId="1" xfId="7" applyNumberFormat="1" applyFont="1" applyFill="1" applyBorder="1" applyAlignment="1">
      <alignment horizontal="center" vertical="top" wrapText="1"/>
    </xf>
    <xf numFmtId="0" fontId="1" fillId="0" borderId="1" xfId="0" applyFont="1" applyBorder="1" applyAlignment="1">
      <alignment horizontal="left" vertical="top" wrapText="1"/>
    </xf>
    <xf numFmtId="10" fontId="1" fillId="0" borderId="1" xfId="7" applyNumberFormat="1" applyFont="1" applyFill="1" applyBorder="1" applyAlignment="1">
      <alignment horizontal="center"/>
    </xf>
    <xf numFmtId="10" fontId="2" fillId="5" borderId="1" xfId="7" applyNumberFormat="1" applyFont="1" applyFill="1" applyBorder="1" applyAlignment="1">
      <alignment horizontal="center" vertical="center"/>
    </xf>
    <xf numFmtId="10" fontId="1" fillId="0" borderId="1" xfId="7" applyNumberFormat="1" applyFont="1" applyFill="1" applyBorder="1" applyAlignment="1">
      <alignment horizontal="center" vertical="center"/>
    </xf>
    <xf numFmtId="10" fontId="3" fillId="0" borderId="1" xfId="7" applyNumberFormat="1" applyFont="1" applyFill="1" applyBorder="1" applyAlignment="1">
      <alignment horizontal="center" vertical="center"/>
    </xf>
    <xf numFmtId="0" fontId="25" fillId="0" borderId="1" xfId="0" applyFont="1" applyBorder="1" applyAlignment="1">
      <alignment horizontal="left" vertical="top" wrapText="1"/>
    </xf>
    <xf numFmtId="0" fontId="21" fillId="5" borderId="1" xfId="0" applyFont="1" applyFill="1" applyBorder="1" applyAlignment="1">
      <alignment horizontal="left" vertical="top" wrapText="1"/>
    </xf>
    <xf numFmtId="10" fontId="21" fillId="5" borderId="1" xfId="7" applyNumberFormat="1" applyFont="1" applyFill="1" applyBorder="1" applyAlignment="1">
      <alignment horizontal="center"/>
    </xf>
    <xf numFmtId="10" fontId="21" fillId="0" borderId="1" xfId="7" applyNumberFormat="1" applyFont="1" applyFill="1" applyBorder="1" applyAlignment="1">
      <alignment horizontal="center"/>
    </xf>
    <xf numFmtId="9" fontId="2" fillId="5" borderId="1" xfId="7" applyFont="1" applyFill="1" applyBorder="1" applyAlignment="1" applyProtection="1">
      <alignment horizontal="center" vertical="top" wrapText="1"/>
    </xf>
    <xf numFmtId="3" fontId="2" fillId="5" borderId="1" xfId="14" applyNumberFormat="1" applyFont="1" applyFill="1" applyBorder="1" applyAlignment="1" applyProtection="1">
      <alignment horizontal="right" vertical="top" wrapText="1"/>
    </xf>
    <xf numFmtId="0" fontId="15" fillId="10" borderId="3" xfId="1" applyFont="1" applyFill="1" applyBorder="1" applyAlignment="1">
      <alignment vertical="center"/>
    </xf>
    <xf numFmtId="0" fontId="15" fillId="10" borderId="4" xfId="1" applyFont="1" applyFill="1" applyBorder="1" applyAlignment="1">
      <alignment vertical="center"/>
    </xf>
    <xf numFmtId="0" fontId="47" fillId="0" borderId="0" xfId="0" applyFont="1" applyAlignment="1">
      <alignment horizontal="left"/>
    </xf>
    <xf numFmtId="0" fontId="1" fillId="8" borderId="1" xfId="0" applyFont="1" applyFill="1" applyBorder="1" applyAlignment="1">
      <alignment horizontal="center"/>
    </xf>
    <xf numFmtId="0" fontId="16" fillId="11" borderId="1" xfId="2" applyFont="1" applyFill="1" applyBorder="1" applyAlignment="1">
      <alignment horizontal="center"/>
    </xf>
    <xf numFmtId="0" fontId="15" fillId="10" borderId="1" xfId="1" applyFont="1" applyFill="1" applyBorder="1" applyAlignment="1">
      <alignment horizontal="center"/>
    </xf>
    <xf numFmtId="0" fontId="31" fillId="7" borderId="1" xfId="0" applyFont="1" applyFill="1" applyBorder="1" applyAlignment="1">
      <alignment horizontal="center" vertical="center"/>
    </xf>
    <xf numFmtId="0" fontId="30" fillId="8" borderId="1"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30" fillId="9" borderId="1" xfId="0" applyFont="1" applyFill="1" applyBorder="1" applyAlignment="1">
      <alignment horizontal="center" vertical="center" wrapText="1"/>
    </xf>
    <xf numFmtId="0" fontId="2" fillId="8" borderId="1" xfId="0" applyFont="1" applyFill="1" applyBorder="1" applyAlignment="1">
      <alignment horizontal="left"/>
    </xf>
    <xf numFmtId="0" fontId="21" fillId="8" borderId="1" xfId="0" applyFont="1" applyFill="1" applyBorder="1" applyAlignment="1">
      <alignment horizontal="left"/>
    </xf>
    <xf numFmtId="0" fontId="31" fillId="6" borderId="1" xfId="0" applyFont="1" applyFill="1" applyBorder="1" applyAlignment="1">
      <alignment horizontal="center" vertical="center"/>
    </xf>
    <xf numFmtId="170" fontId="29" fillId="8" borderId="1" xfId="0" applyNumberFormat="1" applyFont="1" applyFill="1" applyBorder="1" applyAlignment="1">
      <alignment horizontal="center"/>
    </xf>
    <xf numFmtId="0" fontId="51" fillId="15" borderId="0" xfId="0" applyFont="1" applyFill="1" applyAlignment="1">
      <alignment horizontal="center"/>
    </xf>
    <xf numFmtId="41" fontId="1" fillId="0" borderId="0" xfId="14" applyFont="1" applyFill="1" applyAlignment="1">
      <alignment horizontal="center" vertical="center" wrapText="1"/>
    </xf>
    <xf numFmtId="0" fontId="15" fillId="10" borderId="1" xfId="1" applyFont="1" applyFill="1" applyBorder="1" applyAlignment="1">
      <alignment horizontal="center" vertical="center"/>
    </xf>
    <xf numFmtId="0" fontId="15" fillId="10" borderId="18" xfId="1" applyFont="1" applyFill="1" applyBorder="1" applyAlignment="1">
      <alignment horizontal="center" vertical="center"/>
    </xf>
    <xf numFmtId="0" fontId="7" fillId="8"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6" borderId="1" xfId="0" applyFont="1" applyFill="1" applyBorder="1" applyAlignment="1">
      <alignment horizontal="center" vertical="center"/>
    </xf>
    <xf numFmtId="3" fontId="31" fillId="2" borderId="1" xfId="0" applyNumberFormat="1" applyFont="1" applyFill="1" applyBorder="1" applyAlignment="1">
      <alignment horizontal="center" vertical="center"/>
    </xf>
    <xf numFmtId="3" fontId="2" fillId="2" borderId="1" xfId="0" applyNumberFormat="1" applyFont="1" applyFill="1" applyBorder="1" applyAlignment="1">
      <alignment horizontal="center" vertical="center"/>
    </xf>
    <xf numFmtId="0" fontId="58" fillId="0" borderId="0" xfId="0" applyFont="1" applyAlignment="1">
      <alignment horizontal="left" vertical="top" wrapText="1"/>
    </xf>
    <xf numFmtId="0" fontId="59" fillId="0" borderId="0" xfId="0" applyFont="1" applyAlignment="1" applyProtection="1">
      <alignment horizontal="left" vertical="center" wrapText="1"/>
      <protection locked="0"/>
    </xf>
    <xf numFmtId="3" fontId="15" fillId="10" borderId="1" xfId="1" applyNumberFormat="1" applyFont="1" applyFill="1" applyBorder="1" applyAlignment="1">
      <alignment horizontal="center" vertical="center"/>
    </xf>
    <xf numFmtId="0" fontId="7" fillId="0" borderId="1" xfId="0" applyFont="1" applyBorder="1" applyAlignment="1">
      <alignment horizontal="center" vertical="center" wrapText="1"/>
    </xf>
    <xf numFmtId="3" fontId="2" fillId="2" borderId="1" xfId="0" applyNumberFormat="1" applyFont="1" applyFill="1" applyBorder="1" applyAlignment="1" applyProtection="1">
      <alignment horizontal="center" vertical="center"/>
      <protection locked="0"/>
    </xf>
    <xf numFmtId="41" fontId="15" fillId="10" borderId="1" xfId="14" applyFont="1" applyFill="1" applyBorder="1" applyAlignment="1">
      <alignment horizontal="center" vertical="center"/>
    </xf>
    <xf numFmtId="41" fontId="15" fillId="10" borderId="14" xfId="14" applyFont="1" applyFill="1" applyBorder="1" applyAlignment="1">
      <alignment horizontal="center" vertical="center"/>
    </xf>
    <xf numFmtId="0" fontId="10" fillId="12" borderId="8" xfId="2" applyFont="1" applyFill="1" applyBorder="1" applyAlignment="1">
      <alignment horizontal="center" vertical="center"/>
    </xf>
    <xf numFmtId="0" fontId="10" fillId="12" borderId="6" xfId="2" applyFont="1" applyFill="1" applyBorder="1" applyAlignment="1">
      <alignment horizontal="center" vertical="center"/>
    </xf>
    <xf numFmtId="0" fontId="10" fillId="12" borderId="25" xfId="2" applyFont="1" applyFill="1" applyBorder="1" applyAlignment="1">
      <alignment horizontal="center" vertical="center"/>
    </xf>
    <xf numFmtId="168" fontId="2" fillId="0" borderId="9" xfId="0" applyNumberFormat="1" applyFont="1" applyBorder="1" applyAlignment="1" applyProtection="1">
      <alignment horizontal="right"/>
      <protection locked="0"/>
    </xf>
    <xf numFmtId="168" fontId="2" fillId="0" borderId="33" xfId="0" applyNumberFormat="1" applyFont="1" applyBorder="1" applyAlignment="1" applyProtection="1">
      <alignment horizontal="right"/>
      <protection locked="0"/>
    </xf>
    <xf numFmtId="168" fontId="28" fillId="13" borderId="39" xfId="0" applyNumberFormat="1" applyFont="1" applyFill="1" applyBorder="1" applyAlignment="1" applyProtection="1">
      <alignment horizontal="center"/>
      <protection locked="0"/>
    </xf>
    <xf numFmtId="168" fontId="28" fillId="13" borderId="36" xfId="0" applyNumberFormat="1" applyFont="1" applyFill="1" applyBorder="1" applyAlignment="1" applyProtection="1">
      <alignment horizontal="center"/>
      <protection locked="0"/>
    </xf>
    <xf numFmtId="168" fontId="28" fillId="13" borderId="40" xfId="0" applyNumberFormat="1" applyFont="1" applyFill="1" applyBorder="1" applyAlignment="1" applyProtection="1">
      <alignment horizontal="center"/>
      <protection locked="0"/>
    </xf>
    <xf numFmtId="0" fontId="10" fillId="13" borderId="8" xfId="1" applyFont="1" applyFill="1" applyBorder="1" applyAlignment="1">
      <alignment horizontal="center" vertical="center"/>
    </xf>
    <xf numFmtId="0" fontId="10" fillId="13" borderId="25" xfId="1" applyFont="1" applyFill="1" applyBorder="1" applyAlignment="1">
      <alignment horizontal="center" vertical="center"/>
    </xf>
    <xf numFmtId="0" fontId="1" fillId="0" borderId="0" xfId="0" applyFont="1" applyAlignment="1">
      <alignment horizontal="center"/>
    </xf>
    <xf numFmtId="168" fontId="2" fillId="0" borderId="41" xfId="0" applyNumberFormat="1" applyFont="1" applyBorder="1" applyAlignment="1" applyProtection="1">
      <alignment horizontal="right"/>
      <protection locked="0"/>
    </xf>
    <xf numFmtId="168" fontId="2" fillId="0" borderId="7" xfId="0" applyNumberFormat="1" applyFont="1" applyBorder="1" applyAlignment="1" applyProtection="1">
      <alignment horizontal="right"/>
      <protection locked="0"/>
    </xf>
    <xf numFmtId="168" fontId="2" fillId="0" borderId="3" xfId="0" applyNumberFormat="1" applyFont="1" applyBorder="1" applyAlignment="1" applyProtection="1">
      <alignment horizontal="right"/>
      <protection locked="0"/>
    </xf>
    <xf numFmtId="0" fontId="7" fillId="0" borderId="1" xfId="0" applyFont="1" applyBorder="1" applyAlignment="1">
      <alignment horizontal="center" vertical="center"/>
    </xf>
    <xf numFmtId="0" fontId="51" fillId="0" borderId="0" xfId="0" applyFont="1" applyAlignment="1">
      <alignment horizontal="center" vertical="center"/>
    </xf>
    <xf numFmtId="17" fontId="51" fillId="0" borderId="0" xfId="0" applyNumberFormat="1" applyFont="1" applyAlignment="1">
      <alignment horizontal="center" vertical="center"/>
    </xf>
    <xf numFmtId="41" fontId="51" fillId="0" borderId="0" xfId="14" applyFont="1" applyAlignment="1">
      <alignment horizontal="center" vertical="center"/>
    </xf>
    <xf numFmtId="0" fontId="53" fillId="0" borderId="0" xfId="0" applyFont="1" applyAlignment="1">
      <alignment horizontal="center" vertical="center"/>
    </xf>
    <xf numFmtId="17" fontId="50" fillId="15" borderId="1" xfId="0" applyNumberFormat="1" applyFont="1" applyFill="1" applyBorder="1" applyAlignment="1">
      <alignment horizontal="center" vertical="center" wrapText="1"/>
    </xf>
    <xf numFmtId="0" fontId="50" fillId="15" borderId="1" xfId="0" applyFont="1" applyFill="1" applyBorder="1" applyAlignment="1">
      <alignment horizontal="center" vertical="center" wrapText="1"/>
    </xf>
    <xf numFmtId="0" fontId="50" fillId="26" borderId="0" xfId="0" applyFont="1" applyFill="1" applyAlignment="1">
      <alignment horizontal="center"/>
    </xf>
    <xf numFmtId="0" fontId="38" fillId="0" borderId="0" xfId="0" applyFont="1" applyAlignment="1">
      <alignment horizontal="center"/>
    </xf>
    <xf numFmtId="49" fontId="38" fillId="0" borderId="0" xfId="0" applyNumberFormat="1" applyFont="1" applyAlignment="1">
      <alignment horizontal="center"/>
    </xf>
    <xf numFmtId="0" fontId="50" fillId="15" borderId="0" xfId="0" applyFont="1" applyFill="1" applyAlignment="1">
      <alignment horizontal="center"/>
    </xf>
    <xf numFmtId="0" fontId="50" fillId="9" borderId="0" xfId="0" applyFont="1" applyFill="1" applyAlignment="1">
      <alignment horizontal="center"/>
    </xf>
    <xf numFmtId="0" fontId="40" fillId="0" borderId="0" xfId="0" applyFont="1" applyAlignment="1">
      <alignment horizontal="center"/>
    </xf>
    <xf numFmtId="0" fontId="40" fillId="0" borderId="38" xfId="0" applyFont="1" applyBorder="1" applyAlignment="1">
      <alignment horizontal="center"/>
    </xf>
    <xf numFmtId="0" fontId="24" fillId="21" borderId="0" xfId="0" applyFont="1" applyFill="1" applyAlignment="1">
      <alignment horizontal="center" vertical="center" wrapText="1"/>
    </xf>
    <xf numFmtId="0" fontId="43" fillId="0" borderId="0" xfId="0" applyFont="1" applyAlignment="1">
      <alignment horizontal="center"/>
    </xf>
    <xf numFmtId="17" fontId="43" fillId="0" borderId="0" xfId="0" applyNumberFormat="1" applyFont="1" applyAlignment="1">
      <alignment horizontal="center"/>
    </xf>
    <xf numFmtId="0" fontId="50" fillId="23" borderId="0" xfId="0" applyFont="1" applyFill="1" applyAlignment="1">
      <alignment horizontal="center"/>
    </xf>
    <xf numFmtId="0" fontId="49" fillId="9" borderId="0" xfId="0" applyFont="1" applyFill="1" applyAlignment="1">
      <alignment horizontal="center"/>
    </xf>
  </cellXfs>
  <cellStyles count="17">
    <cellStyle name="Bueno" xfId="15" builtinId="26"/>
    <cellStyle name="Énfasis1" xfId="1" builtinId="29"/>
    <cellStyle name="Énfasis2" xfId="2" builtinId="33"/>
    <cellStyle name="Incorrecto" xfId="16" builtinId="27"/>
    <cellStyle name="Millares" xfId="8" builtinId="3"/>
    <cellStyle name="Millares [0]" xfId="14" builtinId="6"/>
    <cellStyle name="Millares 2" xfId="3" xr:uid="{00000000-0005-0000-0000-000006000000}"/>
    <cellStyle name="Millares 2 2" xfId="9" xr:uid="{00000000-0005-0000-0000-000007000000}"/>
    <cellStyle name="Millares 3" xfId="4" xr:uid="{00000000-0005-0000-0000-000008000000}"/>
    <cellStyle name="Millares 3 2" xfId="10" xr:uid="{00000000-0005-0000-0000-000009000000}"/>
    <cellStyle name="Millares 4" xfId="13" xr:uid="{00000000-0005-0000-0000-00000A000000}"/>
    <cellStyle name="Moneda 2" xfId="11" xr:uid="{00000000-0005-0000-0000-00000B000000}"/>
    <cellStyle name="Normal" xfId="0" builtinId="0"/>
    <cellStyle name="Normal 2" xfId="5" xr:uid="{00000000-0005-0000-0000-00000D000000}"/>
    <cellStyle name="Normal 2 2" xfId="12" xr:uid="{00000000-0005-0000-0000-00000E000000}"/>
    <cellStyle name="Normal 3" xfId="6" xr:uid="{00000000-0005-0000-0000-00000F000000}"/>
    <cellStyle name="Porcentaje" xfId="7" builtinId="5"/>
  </cellStyles>
  <dxfs count="4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numFmt numFmtId="13" formatCode="0%"/>
    </dxf>
  </dxfs>
  <tableStyles count="0" defaultTableStyle="TableStyleMedium9" defaultPivotStyle="PivotStyleLight16"/>
  <colors>
    <mruColors>
      <color rgb="FFFCE010"/>
      <color rgb="FFFFCC66"/>
      <color rgb="FF75DFDD"/>
      <color rgb="FFE1C1D6"/>
      <color rgb="FFFF99CC"/>
      <color rgb="FF00FFFF"/>
      <color rgb="FFFF99FF"/>
      <color rgb="FFFFFF99"/>
      <color rgb="FF66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22/11/relationships/FeaturePropertyBag" Target="featurePropertyBag/featurePropertyBag.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FEBRERO</a:t>
            </a:r>
            <a:r>
              <a:rPr lang="es-ES" sz="1400" b="1" i="0" u="none" strike="noStrike" kern="1200" cap="all" spc="50" baseline="0">
                <a:solidFill>
                  <a:sysClr val="windowText" lastClr="000000">
                    <a:lumMod val="65000"/>
                    <a:lumOff val="35000"/>
                  </a:sysClr>
                </a:solidFill>
              </a:rPr>
              <a:t>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consolidado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dLbl>
          <c:idx val="0"/>
          <c:layout>
            <c:manualLayout>
              <c:x val="3.2701602144197335E-3"/>
              <c:y val="6.3326563822371992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s>
    <c:plotArea>
      <c:layout>
        <c:manualLayout>
          <c:layoutTarget val="inner"/>
          <c:xMode val="edge"/>
          <c:yMode val="edge"/>
          <c:x val="0.30415113013693795"/>
          <c:y val="0.252454064290695"/>
          <c:w val="0.37908367771366286"/>
          <c:h val="0.63771627879635007"/>
        </c:manualLayout>
      </c:layout>
      <c:pieChart>
        <c:varyColors val="1"/>
        <c:ser>
          <c:idx val="0"/>
          <c:order val="0"/>
          <c:tx>
            <c:strRef>
              <c:f>GRAFICOS!$C$3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4-5990-49B8-AD55-1A81F42D2754}"/>
              </c:ext>
            </c:extLst>
          </c:dPt>
          <c:dPt>
            <c:idx val="1"/>
            <c:bubble3D val="0"/>
            <c:spPr>
              <a:solidFill>
                <a:schemeClr val="accent2"/>
              </a:solidFill>
              <a:ln>
                <a:noFill/>
              </a:ln>
              <a:effectLst/>
            </c:spPr>
            <c:extLst>
              <c:ext xmlns:c16="http://schemas.microsoft.com/office/drawing/2014/chart" uri="{C3380CC4-5D6E-409C-BE32-E72D297353CC}">
                <c16:uniqueId val="{00000005-5990-49B8-AD55-1A81F42D2754}"/>
              </c:ext>
            </c:extLst>
          </c:dPt>
          <c:dPt>
            <c:idx val="2"/>
            <c:bubble3D val="0"/>
            <c:spPr>
              <a:solidFill>
                <a:schemeClr val="accent3"/>
              </a:solidFill>
              <a:ln>
                <a:noFill/>
              </a:ln>
              <a:effectLst/>
            </c:spPr>
            <c:extLst>
              <c:ext xmlns:c16="http://schemas.microsoft.com/office/drawing/2014/chart" uri="{C3380CC4-5D6E-409C-BE32-E72D297353CC}">
                <c16:uniqueId val="{00000006-5990-49B8-AD55-1A81F42D2754}"/>
              </c:ext>
            </c:extLst>
          </c:dPt>
          <c:dLbls>
            <c:dLbl>
              <c:idx val="2"/>
              <c:layout>
                <c:manualLayout>
                  <c:x val="3.2701602144197335E-3"/>
                  <c:y val="6.33265638223719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990-49B8-AD55-1A81F42D275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GRAFICOS!$B$4:$B$6</c:f>
              <c:strCache>
                <c:ptCount val="3"/>
                <c:pt idx="0">
                  <c:v>Ejecución.</c:v>
                </c:pt>
                <c:pt idx="1">
                  <c:v>Saldo disponible.</c:v>
                </c:pt>
                <c:pt idx="2">
                  <c:v>Saldo por ejecutar.</c:v>
                </c:pt>
              </c:strCache>
            </c:strRef>
          </c:cat>
          <c:val>
            <c:numRef>
              <c:f>GRAFICOS!$C$4:$C$6</c:f>
              <c:numCache>
                <c:formatCode>General</c:formatCode>
                <c:ptCount val="3"/>
                <c:pt idx="0">
                  <c:v>67417152.464999989</c:v>
                </c:pt>
                <c:pt idx="1">
                  <c:v>303309994.04100001</c:v>
                </c:pt>
                <c:pt idx="2">
                  <c:v>3954856.6900000013</c:v>
                </c:pt>
              </c:numCache>
            </c:numRef>
          </c:val>
          <c:extLst>
            <c:ext xmlns:c16="http://schemas.microsoft.com/office/drawing/2014/chart" uri="{C3380CC4-5D6E-409C-BE32-E72D297353CC}">
              <c16:uniqueId val="{00000000-5990-49B8-AD55-1A81F42D275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577916549598534"/>
          <c:y val="0.42909404427617903"/>
          <c:w val="0.12916462532784961"/>
          <c:h val="0.16377918874310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FEBRERO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P01 SUBSECRETARíA DE DESARROLLO REGIONAL Y ADMINISTRATIVO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476079481438693"/>
          <c:y val="0.26850578609701897"/>
          <c:w val="0.36971022700507683"/>
          <c:h val="0.63363510402653078"/>
        </c:manualLayout>
      </c:layout>
      <c:pieChart>
        <c:varyColors val="1"/>
        <c:ser>
          <c:idx val="0"/>
          <c:order val="0"/>
          <c:tx>
            <c:strRef>
              <c:f>GRAFICOS!$C$30</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BDD4-46C8-ACC9-086FA0F102AD}"/>
              </c:ext>
            </c:extLst>
          </c:dPt>
          <c:dPt>
            <c:idx val="1"/>
            <c:bubble3D val="0"/>
            <c:spPr>
              <a:solidFill>
                <a:schemeClr val="accent2"/>
              </a:solidFill>
              <a:ln>
                <a:noFill/>
              </a:ln>
              <a:effectLst/>
            </c:spPr>
            <c:extLst>
              <c:ext xmlns:c16="http://schemas.microsoft.com/office/drawing/2014/chart" uri="{C3380CC4-5D6E-409C-BE32-E72D297353CC}">
                <c16:uniqueId val="{00000003-BDD4-46C8-ACC9-086FA0F102AD}"/>
              </c:ext>
            </c:extLst>
          </c:dPt>
          <c:dPt>
            <c:idx val="2"/>
            <c:bubble3D val="0"/>
            <c:spPr>
              <a:solidFill>
                <a:schemeClr val="accent3"/>
              </a:solidFill>
              <a:ln>
                <a:noFill/>
              </a:ln>
              <a:effectLst/>
            </c:spPr>
            <c:extLst>
              <c:ext xmlns:c16="http://schemas.microsoft.com/office/drawing/2014/chart" uri="{C3380CC4-5D6E-409C-BE32-E72D297353CC}">
                <c16:uniqueId val="{00000005-BDD4-46C8-ACC9-086FA0F102AD}"/>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GRAFICOS!$B$31:$B$33</c:f>
              <c:strCache>
                <c:ptCount val="3"/>
                <c:pt idx="0">
                  <c:v>Ejecución.</c:v>
                </c:pt>
                <c:pt idx="1">
                  <c:v>Saldo disponible.</c:v>
                </c:pt>
                <c:pt idx="2">
                  <c:v>Saldo por ejecutar.</c:v>
                </c:pt>
              </c:strCache>
            </c:strRef>
          </c:cat>
          <c:val>
            <c:numRef>
              <c:f>GRAFICOS!$C$31:$C$33</c:f>
              <c:numCache>
                <c:formatCode>General</c:formatCode>
                <c:ptCount val="3"/>
                <c:pt idx="0">
                  <c:v>8268432.3619999997</c:v>
                </c:pt>
                <c:pt idx="1">
                  <c:v>29083794.604000002</c:v>
                </c:pt>
                <c:pt idx="2">
                  <c:v>2207808.1339999996</c:v>
                </c:pt>
              </c:numCache>
            </c:numRef>
          </c:val>
          <c:extLst>
            <c:ext xmlns:c16="http://schemas.microsoft.com/office/drawing/2014/chart" uri="{C3380CC4-5D6E-409C-BE32-E72D297353CC}">
              <c16:uniqueId val="{00000000-A870-4CDF-ABB4-B413950D36E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4430496148725"/>
          <c:y val="0.45600057661650933"/>
          <c:w val="0.15028212788317216"/>
          <c:h val="0.166596066041918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FEBRERO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P02 </a:t>
            </a:r>
            <a:r>
              <a:rPr lang="en-US" sz="1400" b="1" i="0" u="none" strike="noStrike" kern="1200" cap="none" spc="0" baseline="0">
                <a:solidFill>
                  <a:sysClr val="windowText" lastClr="000000">
                    <a:lumMod val="65000"/>
                    <a:lumOff val="35000"/>
                  </a:sysClr>
                </a:solidFill>
              </a:rPr>
              <a:t>FORTALECIMIENTO DE LA GESTIÓN SUBNACIONAL</a:t>
            </a:r>
            <a:endParaRPr lang="en-US" sz="1400" b="1" i="0" u="none" strike="noStrike" kern="1200" cap="all" spc="50" baseline="0">
              <a:solidFill>
                <a:sysClr val="windowText" lastClr="000000">
                  <a:lumMod val="65000"/>
                  <a:lumOff val="35000"/>
                </a:sysClr>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8747509877053418"/>
          <c:y val="0.27398763807924337"/>
          <c:w val="0.37382590505451485"/>
          <c:h val="0.63610766484520498"/>
        </c:manualLayout>
      </c:layout>
      <c:pieChart>
        <c:varyColors val="1"/>
        <c:ser>
          <c:idx val="0"/>
          <c:order val="0"/>
          <c:tx>
            <c:strRef>
              <c:f>GRAFICOS!$C$57</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98E6-40C8-97B6-32192BFD6DE7}"/>
              </c:ext>
            </c:extLst>
          </c:dPt>
          <c:dPt>
            <c:idx val="1"/>
            <c:bubble3D val="0"/>
            <c:spPr>
              <a:solidFill>
                <a:schemeClr val="accent2"/>
              </a:solidFill>
              <a:ln>
                <a:noFill/>
              </a:ln>
              <a:effectLst/>
            </c:spPr>
            <c:extLst>
              <c:ext xmlns:c16="http://schemas.microsoft.com/office/drawing/2014/chart" uri="{C3380CC4-5D6E-409C-BE32-E72D297353CC}">
                <c16:uniqueId val="{00000003-98E6-40C8-97B6-32192BFD6DE7}"/>
              </c:ext>
            </c:extLst>
          </c:dPt>
          <c:dPt>
            <c:idx val="2"/>
            <c:bubble3D val="0"/>
            <c:spPr>
              <a:solidFill>
                <a:schemeClr val="accent3"/>
              </a:solidFill>
              <a:ln>
                <a:noFill/>
              </a:ln>
              <a:effectLst/>
            </c:spPr>
            <c:extLst>
              <c:ext xmlns:c16="http://schemas.microsoft.com/office/drawing/2014/chart" uri="{C3380CC4-5D6E-409C-BE32-E72D297353CC}">
                <c16:uniqueId val="{00000005-98E6-40C8-97B6-32192BFD6DE7}"/>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GRAFICOS!$B$58:$B$60</c:f>
              <c:strCache>
                <c:ptCount val="3"/>
                <c:pt idx="0">
                  <c:v>Ejecución.</c:v>
                </c:pt>
                <c:pt idx="1">
                  <c:v>Saldo disponible.</c:v>
                </c:pt>
                <c:pt idx="2">
                  <c:v>Saldo por ejecutar.</c:v>
                </c:pt>
              </c:strCache>
            </c:strRef>
          </c:cat>
          <c:val>
            <c:numRef>
              <c:f>GRAFICOS!$C$58:$C$60</c:f>
              <c:numCache>
                <c:formatCode>General</c:formatCode>
                <c:ptCount val="3"/>
                <c:pt idx="0">
                  <c:v>1541895.4289999998</c:v>
                </c:pt>
                <c:pt idx="1">
                  <c:v>4161868.24</c:v>
                </c:pt>
                <c:pt idx="2">
                  <c:v>670550.33100000001</c:v>
                </c:pt>
              </c:numCache>
            </c:numRef>
          </c:val>
          <c:extLst>
            <c:ext xmlns:c16="http://schemas.microsoft.com/office/drawing/2014/chart" uri="{C3380CC4-5D6E-409C-BE32-E72D297353CC}">
              <c16:uniqueId val="{00000000-5629-4233-8DFC-F9612A9DD21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45036529610321"/>
          <c:y val="0.37456125702775878"/>
          <c:w val="8.8775410854709122E-2"/>
          <c:h val="0.164889442948368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FEBRERO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P03 deSARROLLO LOCAL</a:t>
            </a:r>
          </a:p>
          <a:p>
            <a:pPr>
              <a:defRPr/>
            </a:pP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1.3533969539234967E-2"/>
              <c:y val="9.54168370142198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manualLayout>
          <c:layoutTarget val="inner"/>
          <c:xMode val="edge"/>
          <c:yMode val="edge"/>
          <c:x val="0.2922583239396101"/>
          <c:y val="0.27873341619380387"/>
          <c:w val="0.37791105611186604"/>
          <c:h val="0.66197266582176684"/>
        </c:manualLayout>
      </c:layout>
      <c:pieChart>
        <c:varyColors val="1"/>
        <c:ser>
          <c:idx val="0"/>
          <c:order val="0"/>
          <c:tx>
            <c:strRef>
              <c:f>GRAFICOS!$C$85</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1-033F-4C49-B3F4-820B6905DD36}"/>
              </c:ext>
            </c:extLst>
          </c:dPt>
          <c:dPt>
            <c:idx val="1"/>
            <c:bubble3D val="0"/>
            <c:spPr>
              <a:solidFill>
                <a:schemeClr val="accent2"/>
              </a:solidFill>
              <a:ln>
                <a:noFill/>
              </a:ln>
              <a:effectLst/>
            </c:spPr>
            <c:extLst>
              <c:ext xmlns:c16="http://schemas.microsoft.com/office/drawing/2014/chart" uri="{C3380CC4-5D6E-409C-BE32-E72D297353CC}">
                <c16:uniqueId val="{00000003-033F-4C49-B3F4-820B6905DD36}"/>
              </c:ext>
            </c:extLst>
          </c:dPt>
          <c:dPt>
            <c:idx val="2"/>
            <c:bubble3D val="0"/>
            <c:spPr>
              <a:solidFill>
                <a:schemeClr val="accent3"/>
              </a:solidFill>
              <a:ln>
                <a:noFill/>
              </a:ln>
              <a:effectLst/>
            </c:spPr>
            <c:extLst>
              <c:ext xmlns:c16="http://schemas.microsoft.com/office/drawing/2014/chart" uri="{C3380CC4-5D6E-409C-BE32-E72D297353CC}">
                <c16:uniqueId val="{00000004-DEA5-48D7-A9D9-BE86DE5116B5}"/>
              </c:ext>
            </c:extLst>
          </c:dPt>
          <c:dLbls>
            <c:dLbl>
              <c:idx val="2"/>
              <c:layout>
                <c:manualLayout>
                  <c:x val="-1.3533969539234967E-2"/>
                  <c:y val="9.5416837014219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EA5-48D7-A9D9-BE86DE5116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GRAFICOS!$B$86:$B$88</c:f>
              <c:strCache>
                <c:ptCount val="3"/>
                <c:pt idx="0">
                  <c:v>Ejecución.</c:v>
                </c:pt>
                <c:pt idx="1">
                  <c:v>Saldo disponible.</c:v>
                </c:pt>
                <c:pt idx="2">
                  <c:v>Saldo por ejecutar.</c:v>
                </c:pt>
              </c:strCache>
            </c:strRef>
          </c:cat>
          <c:val>
            <c:numRef>
              <c:f>GRAFICOS!$C$86:$C$88</c:f>
              <c:numCache>
                <c:formatCode>General</c:formatCode>
                <c:ptCount val="3"/>
                <c:pt idx="0">
                  <c:v>57606824.673999995</c:v>
                </c:pt>
                <c:pt idx="1">
                  <c:v>213971686.19700003</c:v>
                </c:pt>
                <c:pt idx="2">
                  <c:v>1076498.2250000015</c:v>
                </c:pt>
              </c:numCache>
            </c:numRef>
          </c:val>
          <c:extLst>
            <c:ext xmlns:c16="http://schemas.microsoft.com/office/drawing/2014/chart" uri="{C3380CC4-5D6E-409C-BE32-E72D297353CC}">
              <c16:uniqueId val="{00000000-DEA5-48D7-A9D9-BE86DE5116B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5272293939077506"/>
          <c:y val="0.42585352599003801"/>
          <c:w val="8.8931978149446048E-2"/>
          <c:h val="0.151422356394185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cap="all" spc="50" baseline="0">
                <a:solidFill>
                  <a:sysClr val="windowText" lastClr="000000">
                    <a:lumMod val="65000"/>
                    <a:lumOff val="35000"/>
                  </a:sysClr>
                </a:solidFill>
              </a:rPr>
              <a:t>SITUACIóN PRESUPUESTARIA al MES DE </a:t>
            </a:r>
            <a:r>
              <a:rPr lang="es-ES" sz="1400" b="1" i="0" u="none" strike="noStrike" kern="1200" cap="all" spc="50" baseline="0">
                <a:solidFill>
                  <a:sysClr val="windowText" lastClr="000000">
                    <a:lumMod val="65000"/>
                    <a:lumOff val="35000"/>
                  </a:sysClr>
                </a:solidFill>
              </a:rPr>
              <a:t>FEBRERO de 2025</a:t>
            </a:r>
            <a:endParaRPr lang="es-CL" sz="1400" b="1" i="0" u="none" strike="noStrike" kern="1200" cap="all" spc="50" baseline="0">
              <a:solidFill>
                <a:sysClr val="windowText" lastClr="000000">
                  <a:lumMod val="65000"/>
                  <a:lumOff val="35000"/>
                </a:sysClr>
              </a:solidFill>
            </a:endParaRPr>
          </a:p>
          <a:p>
            <a:pPr>
              <a:defRPr/>
            </a:pPr>
            <a:r>
              <a:rPr lang="en-US" sz="1400" b="1" i="0" u="none" strike="noStrike" kern="1200" cap="all" spc="50" baseline="0">
                <a:solidFill>
                  <a:sysClr val="windowText" lastClr="000000">
                    <a:lumMod val="65000"/>
                    <a:lumOff val="35000"/>
                  </a:sysClr>
                </a:solidFill>
              </a:rPr>
              <a:t>PROGRAMA p05 TRANSFERENCIAS A GOBIERNOS REGIONALES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dLbl>
          <c:idx val="0"/>
          <c:layout>
            <c:manualLayout>
              <c:x val="-6.6853677340719163E-3"/>
              <c:y val="0.1037234932807488"/>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olidFill>
          <a:ln>
            <a:noFill/>
          </a:ln>
          <a:effectLst/>
        </c:spPr>
        <c:dLbl>
          <c:idx val="0"/>
          <c:layout>
            <c:manualLayout>
              <c:x val="4.4201159219906708E-2"/>
              <c:y val="0.170847044699788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extLst>
            <c:ext xmlns:c15="http://schemas.microsoft.com/office/drawing/2012/chart" uri="{CE6537A1-D6FC-4f65-9D91-7224C49458BB}"/>
          </c:extLst>
        </c:dLbl>
      </c:pivotFmt>
      <c:pivotFmt>
        <c:idx val="5"/>
        <c:spPr>
          <a:solidFill>
            <a:schemeClr val="accent1"/>
          </a:solidFill>
          <a:ln>
            <a:noFill/>
          </a:ln>
          <a:effectLst/>
        </c:spPr>
      </c:pivotFmt>
    </c:pivotFmts>
    <c:plotArea>
      <c:layout/>
      <c:pieChart>
        <c:varyColors val="1"/>
        <c:ser>
          <c:idx val="0"/>
          <c:order val="0"/>
          <c:tx>
            <c:strRef>
              <c:f>GRAFICOS!$C$113</c:f>
              <c:strCache>
                <c:ptCount val="1"/>
                <c:pt idx="0">
                  <c:v>Total</c:v>
                </c:pt>
              </c:strCache>
            </c:strRef>
          </c:tx>
          <c:dPt>
            <c:idx val="0"/>
            <c:bubble3D val="0"/>
            <c:spPr>
              <a:solidFill>
                <a:schemeClr val="accent1"/>
              </a:solidFill>
              <a:ln>
                <a:noFill/>
              </a:ln>
              <a:effectLst/>
            </c:spPr>
            <c:extLst>
              <c:ext xmlns:c16="http://schemas.microsoft.com/office/drawing/2014/chart" uri="{C3380CC4-5D6E-409C-BE32-E72D297353CC}">
                <c16:uniqueId val="{00000005-A690-4521-82AC-40461618B15C}"/>
              </c:ext>
            </c:extLst>
          </c:dPt>
          <c:dPt>
            <c:idx val="1"/>
            <c:bubble3D val="0"/>
            <c:spPr>
              <a:solidFill>
                <a:schemeClr val="accent2"/>
              </a:solidFill>
              <a:ln>
                <a:noFill/>
              </a:ln>
              <a:effectLst/>
            </c:spPr>
            <c:extLst>
              <c:ext xmlns:c16="http://schemas.microsoft.com/office/drawing/2014/chart" uri="{C3380CC4-5D6E-409C-BE32-E72D297353CC}">
                <c16:uniqueId val="{00000003-F9E6-4ED9-9F53-C556B76718B0}"/>
              </c:ext>
            </c:extLst>
          </c:dPt>
          <c:dPt>
            <c:idx val="2"/>
            <c:bubble3D val="0"/>
            <c:spPr>
              <a:solidFill>
                <a:schemeClr val="accent3"/>
              </a:solidFill>
              <a:ln>
                <a:noFill/>
              </a:ln>
              <a:effectLst/>
            </c:spPr>
            <c:extLst>
              <c:ext xmlns:c16="http://schemas.microsoft.com/office/drawing/2014/chart" uri="{C3380CC4-5D6E-409C-BE32-E72D297353CC}">
                <c16:uniqueId val="{00000004-A690-4521-82AC-40461618B15C}"/>
              </c:ext>
            </c:extLst>
          </c:dPt>
          <c:dLbls>
            <c:dLbl>
              <c:idx val="0"/>
              <c:layout>
                <c:manualLayout>
                  <c:x val="4.4201159219906708E-2"/>
                  <c:y val="0.170847044699788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90-4521-82AC-40461618B15C}"/>
                </c:ext>
              </c:extLst>
            </c:dLbl>
            <c:dLbl>
              <c:idx val="2"/>
              <c:layout>
                <c:manualLayout>
                  <c:x val="-6.6853677340719163E-3"/>
                  <c:y val="0.1037234932807488"/>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690-4521-82AC-40461618B1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L"/>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GRAFICOS!$B$114:$B$116</c:f>
              <c:strCache>
                <c:ptCount val="3"/>
                <c:pt idx="0">
                  <c:v>Ejecución.</c:v>
                </c:pt>
                <c:pt idx="1">
                  <c:v>Saldo disponible.</c:v>
                </c:pt>
                <c:pt idx="2">
                  <c:v>Saldo por ejecutar.</c:v>
                </c:pt>
              </c:strCache>
            </c:strRef>
          </c:cat>
          <c:val>
            <c:numRef>
              <c:f>GRAFICOS!$C$114:$C$116</c:f>
              <c:numCache>
                <c:formatCode>General</c:formatCode>
                <c:ptCount val="3"/>
                <c:pt idx="0">
                  <c:v>0</c:v>
                </c:pt>
                <c:pt idx="1">
                  <c:v>56092645</c:v>
                </c:pt>
                <c:pt idx="2">
                  <c:v>0</c:v>
                </c:pt>
              </c:numCache>
            </c:numRef>
          </c:val>
          <c:extLst>
            <c:ext xmlns:c16="http://schemas.microsoft.com/office/drawing/2014/chart" uri="{C3380CC4-5D6E-409C-BE32-E72D297353CC}">
              <c16:uniqueId val="{00000000-A690-4521-82AC-40461618B15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012530281978982"/>
          <c:y val="0.45139022244817573"/>
          <c:w val="8.9405033029741218E-2"/>
          <c:h val="0.152945703865715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 PORCENTUAL DE EJECUCIÓN POR PROGRAMA PRESUPUESTARIo </a:t>
            </a:r>
          </a:p>
          <a:p>
            <a:pPr>
              <a:defRPr/>
            </a:pPr>
            <a:r>
              <a:rPr lang="es-CL" sz="1400" b="1" i="0" u="none" strike="noStrike" kern="1200" cap="all" spc="50" baseline="0">
                <a:solidFill>
                  <a:sysClr val="windowText" lastClr="000000">
                    <a:lumMod val="65000"/>
                    <a:lumOff val="35000"/>
                  </a:sysClr>
                </a:solidFill>
              </a:rPr>
              <a:t>AÑO 2024 VS 2025</a:t>
            </a:r>
          </a:p>
          <a:p>
            <a:pPr>
              <a:defRPr/>
            </a:pPr>
            <a:r>
              <a:rPr lang="es-CL" sz="1400" b="1" i="0" u="none" strike="noStrike" kern="1200" cap="all" spc="50" baseline="0">
                <a:solidFill>
                  <a:sysClr val="windowText" lastClr="000000">
                    <a:lumMod val="65000"/>
                    <a:lumOff val="35000"/>
                  </a:sysClr>
                </a:solidFill>
              </a:rPr>
              <a:t>A FEBRERO</a:t>
            </a:r>
          </a:p>
          <a:p>
            <a:pPr>
              <a:defRPr/>
            </a:pPr>
            <a:endParaRPr lang="es-C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GRAFICOS!$C$140</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GRAFICOS!$C$141:$C$145</c:f>
              <c:numCache>
                <c:formatCode>0.0%</c:formatCode>
                <c:ptCount val="4"/>
                <c:pt idx="0">
                  <c:v>0.20900973270370024</c:v>
                </c:pt>
                <c:pt idx="1">
                  <c:v>0.24189197912120422</c:v>
                </c:pt>
                <c:pt idx="2">
                  <c:v>0.21128100622467205</c:v>
                </c:pt>
                <c:pt idx="3">
                  <c:v>0</c:v>
                </c:pt>
              </c:numCache>
            </c:numRef>
          </c:val>
          <c:extLst>
            <c:ext xmlns:c16="http://schemas.microsoft.com/office/drawing/2014/chart" uri="{C3380CC4-5D6E-409C-BE32-E72D297353CC}">
              <c16:uniqueId val="{00000000-D1FA-4175-9454-2DC62819537F}"/>
            </c:ext>
          </c:extLst>
        </c:ser>
        <c:ser>
          <c:idx val="1"/>
          <c:order val="1"/>
          <c:tx>
            <c:strRef>
              <c:f>GRAFICOS!$D$140</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GRAFICOS!$B$141:$B$145</c:f>
              <c:strCache>
                <c:ptCount val="4"/>
                <c:pt idx="0">
                  <c:v>PROGRAMA 01 - SUBSECRETARIA </c:v>
                </c:pt>
                <c:pt idx="1">
                  <c:v>PROGRAMA 02 - SUBNACIONAL</c:v>
                </c:pt>
                <c:pt idx="2">
                  <c:v>PROGRAMA 03 - DESARROLLO LOCAL</c:v>
                </c:pt>
                <c:pt idx="3">
                  <c:v>PROGRAMA 05 - TRANSFERENCIA GORES</c:v>
                </c:pt>
              </c:strCache>
            </c:strRef>
          </c:cat>
          <c:val>
            <c:numRef>
              <c:f>GRAFICOS!$D$141:$D$145</c:f>
              <c:numCache>
                <c:formatCode>0.0%</c:formatCode>
                <c:ptCount val="4"/>
                <c:pt idx="0">
                  <c:v>0.13139247777667967</c:v>
                </c:pt>
                <c:pt idx="1">
                  <c:v>0.14455380556181366</c:v>
                </c:pt>
                <c:pt idx="2">
                  <c:v>0.17328379890782317</c:v>
                </c:pt>
                <c:pt idx="3">
                  <c:v>0.10173399693932977</c:v>
                </c:pt>
              </c:numCache>
            </c:numRef>
          </c:val>
          <c:extLst>
            <c:ext xmlns:c16="http://schemas.microsoft.com/office/drawing/2014/chart" uri="{C3380CC4-5D6E-409C-BE32-E72D297353CC}">
              <c16:uniqueId val="{00000002-D1FA-4175-9454-2DC62819537F}"/>
            </c:ext>
          </c:extLst>
        </c:ser>
        <c:dLbls>
          <c:showLegendKey val="0"/>
          <c:showVal val="0"/>
          <c:showCatName val="0"/>
          <c:showSerName val="0"/>
          <c:showPercent val="0"/>
          <c:showBubbleSize val="0"/>
        </c:dLbls>
        <c:gapWidth val="150"/>
        <c:axId val="1659341088"/>
        <c:axId val="1659359808"/>
      </c:barChart>
      <c:catAx>
        <c:axId val="1659341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59808"/>
        <c:crosses val="autoZero"/>
        <c:auto val="1"/>
        <c:lblAlgn val="ctr"/>
        <c:lblOffset val="100"/>
        <c:noMultiLvlLbl val="0"/>
      </c:catAx>
      <c:valAx>
        <c:axId val="16593598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9341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50" baseline="0">
                <a:solidFill>
                  <a:sysClr val="windowText" lastClr="000000">
                    <a:lumMod val="65000"/>
                    <a:lumOff val="35000"/>
                  </a:sysClr>
                </a:solidFill>
              </a:rPr>
              <a:t>Comparativo</a:t>
            </a:r>
            <a:r>
              <a:rPr lang="es-CL" sz="1400" b="1" i="0" u="none" strike="noStrike" kern="1200" cap="all" spc="120" normalizeH="0" baseline="0">
                <a:solidFill>
                  <a:sysClr val="windowText" lastClr="000000">
                    <a:lumMod val="65000"/>
                    <a:lumOff val="35000"/>
                  </a:sysClr>
                </a:solidFill>
              </a:rPr>
              <a:t> porcentual de ejecución por subtítulo presupuestario</a:t>
            </a:r>
          </a:p>
          <a:p>
            <a:pPr>
              <a:defRPr/>
            </a:pPr>
            <a:r>
              <a:rPr lang="es-CL" sz="1400" b="1" i="0" u="none" strike="noStrike" kern="1200" cap="all" spc="120" normalizeH="0" baseline="0">
                <a:solidFill>
                  <a:sysClr val="windowText" lastClr="000000">
                    <a:lumMod val="65000"/>
                    <a:lumOff val="35000"/>
                  </a:sysClr>
                </a:solidFill>
              </a:rPr>
              <a:t>año 2024 vs año 2025</a:t>
            </a:r>
          </a:p>
          <a:p>
            <a:pPr>
              <a:defRPr/>
            </a:pPr>
            <a:r>
              <a:rPr lang="es-CL" sz="1400" b="1" i="0" u="none" strike="noStrike" kern="1200" cap="all" spc="120" normalizeH="0" baseline="0">
                <a:solidFill>
                  <a:sysClr val="windowText" lastClr="000000">
                    <a:lumMod val="65000"/>
                    <a:lumOff val="35000"/>
                  </a:sysClr>
                </a:solidFill>
              </a:rPr>
              <a:t>A  FEBRERO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CC6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GRAFICOS!$C$172</c:f>
              <c:strCache>
                <c:ptCount val="1"/>
                <c:pt idx="0">
                  <c:v>% Ejecución 2025.</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GRAFICOS!$C$173:$C$179</c:f>
              <c:numCache>
                <c:formatCode>0%</c:formatCode>
                <c:ptCount val="6"/>
                <c:pt idx="0">
                  <c:v>0.11088662194402626</c:v>
                </c:pt>
                <c:pt idx="1">
                  <c:v>6.1512647897285062E-2</c:v>
                </c:pt>
                <c:pt idx="2">
                  <c:v>0.13625130224347376</c:v>
                </c:pt>
                <c:pt idx="3">
                  <c:v>0</c:v>
                </c:pt>
                <c:pt idx="4">
                  <c:v>2.9247489911205233E-3</c:v>
                </c:pt>
                <c:pt idx="5">
                  <c:v>5.6423936270821415E-2</c:v>
                </c:pt>
              </c:numCache>
            </c:numRef>
          </c:val>
          <c:extLst>
            <c:ext xmlns:c16="http://schemas.microsoft.com/office/drawing/2014/chart" uri="{C3380CC4-5D6E-409C-BE32-E72D297353CC}">
              <c16:uniqueId val="{00000000-7F27-4B57-ABB8-F1143A28E6D5}"/>
            </c:ext>
          </c:extLst>
        </c:ser>
        <c:ser>
          <c:idx val="1"/>
          <c:order val="1"/>
          <c:tx>
            <c:strRef>
              <c:f>GRAFICOS!$D$172</c:f>
              <c:strCache>
                <c:ptCount val="1"/>
                <c:pt idx="0">
                  <c:v>% Ejecución 2024.</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GRAFICOS!$B$173:$B$179</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GRAFICOS!$D$173:$D$179</c:f>
              <c:numCache>
                <c:formatCode>0%</c:formatCode>
                <c:ptCount val="6"/>
                <c:pt idx="0">
                  <c:v>0.13248120823044013</c:v>
                </c:pt>
                <c:pt idx="1">
                  <c:v>7.2510073110522558E-2</c:v>
                </c:pt>
                <c:pt idx="2">
                  <c:v>0.13438857858551156</c:v>
                </c:pt>
                <c:pt idx="3">
                  <c:v>0</c:v>
                </c:pt>
                <c:pt idx="4">
                  <c:v>0.1108623384214056</c:v>
                </c:pt>
                <c:pt idx="5">
                  <c:v>8.8291861480181352E-2</c:v>
                </c:pt>
              </c:numCache>
            </c:numRef>
          </c:val>
          <c:extLst>
            <c:ext xmlns:c16="http://schemas.microsoft.com/office/drawing/2014/chart" uri="{C3380CC4-5D6E-409C-BE32-E72D297353CC}">
              <c16:uniqueId val="{00000002-7F27-4B57-ABB8-F1143A28E6D5}"/>
            </c:ext>
          </c:extLst>
        </c:ser>
        <c:dLbls>
          <c:showLegendKey val="0"/>
          <c:showVal val="0"/>
          <c:showCatName val="0"/>
          <c:showSerName val="0"/>
          <c:showPercent val="0"/>
          <c:showBubbleSize val="0"/>
        </c:dLbls>
        <c:gapWidth val="150"/>
        <c:axId val="1655767840"/>
        <c:axId val="1655768320"/>
      </c:barChart>
      <c:catAx>
        <c:axId val="1655767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8320"/>
        <c:crosses val="autoZero"/>
        <c:auto val="1"/>
        <c:lblAlgn val="ctr"/>
        <c:lblOffset val="100"/>
        <c:noMultiLvlLbl val="0"/>
      </c:catAx>
      <c:valAx>
        <c:axId val="16557683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6557678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[Ejecución Presupuestaria al 28 de febrero 2025.xlsx]GRAFICOS!TablaDinámica8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L" sz="1400" b="1" i="0" u="none" strike="noStrike" kern="1200" cap="all" spc="120" normalizeH="0" baseline="0">
                <a:solidFill>
                  <a:sysClr val="windowText" lastClr="000000">
                    <a:lumMod val="65000"/>
                    <a:lumOff val="35000"/>
                  </a:sysClr>
                </a:solidFill>
              </a:rPr>
              <a:t>COMPARATIVO: PRESUPUESTO INICIAL VS PRESUPUESTO VIGENTE AÑO 2025 </a:t>
            </a:r>
          </a:p>
          <a:p>
            <a:pPr>
              <a:defRPr/>
            </a:pPr>
            <a:r>
              <a:rPr lang="es-CL" sz="1400" b="1" i="0" u="none" strike="noStrike" kern="1200" cap="all" spc="120" normalizeH="0" baseline="0">
                <a:solidFill>
                  <a:sysClr val="windowText" lastClr="000000">
                    <a:lumMod val="65000"/>
                    <a:lumOff val="35000"/>
                  </a:sysClr>
                </a:solidFill>
              </a:rPr>
              <a:t>MES DE FEBRERO POR SUBTÍTULO PRESUPUESTARIO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L"/>
        </a:p>
      </c:txPr>
    </c:title>
    <c:autoTitleDeleted val="0"/>
    <c:pivotFmts>
      <c:pivotFmt>
        <c:idx val="0"/>
        <c:spPr>
          <a:solidFill>
            <a:srgbClr val="00B0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2060"/>
          </a:solidFill>
          <a:ln>
            <a:noFill/>
          </a:ln>
          <a:effectLst/>
        </c:spPr>
        <c:dLbl>
          <c:idx val="0"/>
          <c:layout>
            <c:manualLayout>
              <c:x val="1.7931473884202402E-2"/>
              <c:y val="-4.8814499520695425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2060"/>
          </a:solidFill>
          <a:ln>
            <a:noFill/>
          </a:ln>
          <a:effectLst/>
        </c:spPr>
        <c:dLbl>
          <c:idx val="0"/>
          <c:layout>
            <c:manualLayout>
              <c:x val="1.7740011301348561E-2"/>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2060"/>
          </a:solidFill>
          <a:ln>
            <a:noFill/>
          </a:ln>
          <a:effectLst/>
        </c:spPr>
        <c:dLbl>
          <c:idx val="0"/>
          <c:layout>
            <c:manualLayout>
              <c:x val="1.5652951148248578E-2"/>
              <c:y val="6.862744215075923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02060"/>
          </a:solidFill>
          <a:ln>
            <a:noFill/>
          </a:ln>
          <a:effectLst/>
        </c:spPr>
        <c:dLbl>
          <c:idx val="0"/>
          <c:layout>
            <c:manualLayout>
              <c:x val="1.5652951148248655E-2"/>
              <c:y val="-1.6775403179296461E-1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GRAFICOS!$C$203</c:f>
              <c:strCache>
                <c:ptCount val="1"/>
                <c:pt idx="0">
                  <c:v>Presupuesto Inicial 2025.</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GRAFICOS!$C$204:$C$210</c:f>
              <c:numCache>
                <c:formatCode>#,##0</c:formatCode>
                <c:ptCount val="6"/>
                <c:pt idx="0">
                  <c:v>239135</c:v>
                </c:pt>
                <c:pt idx="1">
                  <c:v>2943989</c:v>
                </c:pt>
                <c:pt idx="2">
                  <c:v>20227650.999999996</c:v>
                </c:pt>
                <c:pt idx="3">
                  <c:v>8610052</c:v>
                </c:pt>
                <c:pt idx="4">
                  <c:v>86148546</c:v>
                </c:pt>
                <c:pt idx="5">
                  <c:v>296545699</c:v>
                </c:pt>
              </c:numCache>
            </c:numRef>
          </c:val>
          <c:extLst>
            <c:ext xmlns:c16="http://schemas.microsoft.com/office/drawing/2014/chart" uri="{C3380CC4-5D6E-409C-BE32-E72D297353CC}">
              <c16:uniqueId val="{00000000-AA05-4BDB-8E03-20EF58EDBF5E}"/>
            </c:ext>
          </c:extLst>
        </c:ser>
        <c:ser>
          <c:idx val="1"/>
          <c:order val="1"/>
          <c:tx>
            <c:strRef>
              <c:f>GRAFICOS!$D$203</c:f>
              <c:strCache>
                <c:ptCount val="1"/>
                <c:pt idx="0">
                  <c:v>Presupuesto Vigente.</c:v>
                </c:pt>
              </c:strCache>
            </c:strRef>
          </c:tx>
          <c:spPr>
            <a:solidFill>
              <a:srgbClr val="002060"/>
            </a:solidFill>
            <a:ln>
              <a:noFill/>
            </a:ln>
            <a:effectLst/>
          </c:spPr>
          <c:invertIfNegative val="0"/>
          <c:dPt>
            <c:idx val="2"/>
            <c:invertIfNegative val="0"/>
            <c:bubble3D val="0"/>
            <c:spPr>
              <a:solidFill>
                <a:srgbClr val="002060"/>
              </a:solidFill>
              <a:ln>
                <a:noFill/>
              </a:ln>
              <a:effectLst/>
            </c:spPr>
            <c:extLst>
              <c:ext xmlns:c16="http://schemas.microsoft.com/office/drawing/2014/chart" uri="{C3380CC4-5D6E-409C-BE32-E72D297353CC}">
                <c16:uniqueId val="{00000004-AA05-4BDB-8E03-20EF58EDBF5E}"/>
              </c:ext>
            </c:extLst>
          </c:dPt>
          <c:dPt>
            <c:idx val="3"/>
            <c:invertIfNegative val="0"/>
            <c:bubble3D val="0"/>
            <c:spPr>
              <a:solidFill>
                <a:srgbClr val="002060"/>
              </a:solidFill>
              <a:ln>
                <a:noFill/>
              </a:ln>
              <a:effectLst/>
            </c:spPr>
            <c:extLst>
              <c:ext xmlns:c16="http://schemas.microsoft.com/office/drawing/2014/chart" uri="{C3380CC4-5D6E-409C-BE32-E72D297353CC}">
                <c16:uniqueId val="{00000006-AA05-4BDB-8E03-20EF58EDBF5E}"/>
              </c:ext>
            </c:extLst>
          </c:dPt>
          <c:dPt>
            <c:idx val="4"/>
            <c:invertIfNegative val="0"/>
            <c:bubble3D val="0"/>
            <c:spPr>
              <a:solidFill>
                <a:srgbClr val="002060"/>
              </a:solidFill>
              <a:ln>
                <a:noFill/>
              </a:ln>
              <a:effectLst/>
            </c:spPr>
            <c:extLst>
              <c:ext xmlns:c16="http://schemas.microsoft.com/office/drawing/2014/chart" uri="{C3380CC4-5D6E-409C-BE32-E72D297353CC}">
                <c16:uniqueId val="{00000003-AA05-4BDB-8E03-20EF58EDBF5E}"/>
              </c:ext>
            </c:extLst>
          </c:dPt>
          <c:dPt>
            <c:idx val="5"/>
            <c:invertIfNegative val="0"/>
            <c:bubble3D val="0"/>
            <c:spPr>
              <a:solidFill>
                <a:srgbClr val="002060"/>
              </a:solidFill>
              <a:ln>
                <a:noFill/>
              </a:ln>
              <a:effectLst/>
            </c:spPr>
            <c:extLst>
              <c:ext xmlns:c16="http://schemas.microsoft.com/office/drawing/2014/chart" uri="{C3380CC4-5D6E-409C-BE32-E72D297353CC}">
                <c16:uniqueId val="{00000005-AA05-4BDB-8E03-20EF58EDBF5E}"/>
              </c:ext>
            </c:extLst>
          </c:dPt>
          <c:dLbls>
            <c:dLbl>
              <c:idx val="2"/>
              <c:layout>
                <c:manualLayout>
                  <c:x val="1.774001130134856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05-4BDB-8E03-20EF58EDBF5E}"/>
                </c:ext>
              </c:extLst>
            </c:dLbl>
            <c:dLbl>
              <c:idx val="3"/>
              <c:layout>
                <c:manualLayout>
                  <c:x val="1.5652951148248655E-2"/>
                  <c:y val="-1.6775403179296461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05-4BDB-8E03-20EF58EDBF5E}"/>
                </c:ext>
              </c:extLst>
            </c:dLbl>
            <c:dLbl>
              <c:idx val="4"/>
              <c:layout>
                <c:manualLayout>
                  <c:x val="1.7931473884202402E-2"/>
                  <c:y val="-4.88144995206954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5-4BDB-8E03-20EF58EDBF5E}"/>
                </c:ext>
              </c:extLst>
            </c:dLbl>
            <c:dLbl>
              <c:idx val="5"/>
              <c:layout>
                <c:manualLayout>
                  <c:x val="1.5652951148248578E-2"/>
                  <c:y val="6.8627442150759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5-4BDB-8E03-20EF58EDBF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GRAFICOS!$B$204:$B$210</c:f>
              <c:strCache>
                <c:ptCount val="6"/>
                <c:pt idx="0">
                  <c:v>ADQUISICIÓN DE ACTIVOS NO FINANCIEROS</c:v>
                </c:pt>
                <c:pt idx="1">
                  <c:v>BIENES Y SERVICIOS DE CONSUMO</c:v>
                </c:pt>
                <c:pt idx="2">
                  <c:v>GASTOS EN PERSONAL</c:v>
                </c:pt>
                <c:pt idx="3">
                  <c:v>PRESTAMOS </c:v>
                </c:pt>
                <c:pt idx="4">
                  <c:v>TRANSFERENCIAS CORRIENTES </c:v>
                </c:pt>
                <c:pt idx="5">
                  <c:v>TRANSFERENCIAS DE CAPITAL </c:v>
                </c:pt>
              </c:strCache>
            </c:strRef>
          </c:cat>
          <c:val>
            <c:numRef>
              <c:f>GRAFICOS!$D$204:$D$210</c:f>
              <c:numCache>
                <c:formatCode>#,##0</c:formatCode>
                <c:ptCount val="6"/>
                <c:pt idx="0">
                  <c:v>227178</c:v>
                </c:pt>
                <c:pt idx="1">
                  <c:v>2796789</c:v>
                </c:pt>
                <c:pt idx="2">
                  <c:v>19823097.999999996</c:v>
                </c:pt>
                <c:pt idx="3">
                  <c:v>8610052</c:v>
                </c:pt>
                <c:pt idx="4">
                  <c:v>86148546</c:v>
                </c:pt>
                <c:pt idx="5">
                  <c:v>240446093</c:v>
                </c:pt>
              </c:numCache>
            </c:numRef>
          </c:val>
          <c:extLst>
            <c:ext xmlns:c16="http://schemas.microsoft.com/office/drawing/2014/chart" uri="{C3380CC4-5D6E-409C-BE32-E72D297353CC}">
              <c16:uniqueId val="{00000002-AA05-4BDB-8E03-20EF58EDBF5E}"/>
            </c:ext>
          </c:extLst>
        </c:ser>
        <c:dLbls>
          <c:showLegendKey val="0"/>
          <c:showVal val="0"/>
          <c:showCatName val="0"/>
          <c:showSerName val="0"/>
          <c:showPercent val="0"/>
          <c:showBubbleSize val="0"/>
        </c:dLbls>
        <c:gapWidth val="150"/>
        <c:axId val="1393541359"/>
        <c:axId val="1393541839"/>
      </c:barChart>
      <c:catAx>
        <c:axId val="1393541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839"/>
        <c:crosses val="autoZero"/>
        <c:auto val="1"/>
        <c:lblAlgn val="ctr"/>
        <c:lblOffset val="100"/>
        <c:noMultiLvlLbl val="0"/>
      </c:catAx>
      <c:valAx>
        <c:axId val="1393541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13935413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13</xdr:col>
      <xdr:colOff>32657</xdr:colOff>
      <xdr:row>26</xdr:row>
      <xdr:rowOff>152400</xdr:rowOff>
    </xdr:to>
    <xdr:graphicFrame macro="">
      <xdr:nvGraphicFramePr>
        <xdr:cNvPr id="2" name="Gráfico 1">
          <a:extLst>
            <a:ext uri="{FF2B5EF4-FFF2-40B4-BE49-F238E27FC236}">
              <a16:creationId xmlns:a16="http://schemas.microsoft.com/office/drawing/2014/main" id="{AC1FA1B4-3AB9-FFBB-EE45-54DFFADB1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127609</xdr:rowOff>
    </xdr:from>
    <xdr:to>
      <xdr:col>13</xdr:col>
      <xdr:colOff>54429</xdr:colOff>
      <xdr:row>53</xdr:row>
      <xdr:rowOff>97972</xdr:rowOff>
    </xdr:to>
    <xdr:graphicFrame macro="">
      <xdr:nvGraphicFramePr>
        <xdr:cNvPr id="4" name="Gráfico 3">
          <a:extLst>
            <a:ext uri="{FF2B5EF4-FFF2-40B4-BE49-F238E27FC236}">
              <a16:creationId xmlns:a16="http://schemas.microsoft.com/office/drawing/2014/main" id="{F5BB3E0C-9258-E39B-B892-9DD98B9D68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21771</xdr:colOff>
      <xdr:row>53</xdr:row>
      <xdr:rowOff>97971</xdr:rowOff>
    </xdr:from>
    <xdr:to>
      <xdr:col>13</xdr:col>
      <xdr:colOff>32657</xdr:colOff>
      <xdr:row>80</xdr:row>
      <xdr:rowOff>119742</xdr:rowOff>
    </xdr:to>
    <xdr:graphicFrame macro="">
      <xdr:nvGraphicFramePr>
        <xdr:cNvPr id="3" name="Gráfico 2">
          <a:extLst>
            <a:ext uri="{FF2B5EF4-FFF2-40B4-BE49-F238E27FC236}">
              <a16:creationId xmlns:a16="http://schemas.microsoft.com/office/drawing/2014/main" id="{D94B31AF-8490-221B-4654-D0E7F7E898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21771</xdr:colOff>
      <xdr:row>79</xdr:row>
      <xdr:rowOff>87084</xdr:rowOff>
    </xdr:from>
    <xdr:to>
      <xdr:col>13</xdr:col>
      <xdr:colOff>10886</xdr:colOff>
      <xdr:row>108</xdr:row>
      <xdr:rowOff>185056</xdr:rowOff>
    </xdr:to>
    <xdr:graphicFrame macro="">
      <xdr:nvGraphicFramePr>
        <xdr:cNvPr id="5" name="Gráfico 4">
          <a:extLst>
            <a:ext uri="{FF2B5EF4-FFF2-40B4-BE49-F238E27FC236}">
              <a16:creationId xmlns:a16="http://schemas.microsoft.com/office/drawing/2014/main" id="{A49BF654-FBD6-0F15-CDED-7F10A5339E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10885</xdr:colOff>
      <xdr:row>108</xdr:row>
      <xdr:rowOff>185056</xdr:rowOff>
    </xdr:from>
    <xdr:to>
      <xdr:col>12</xdr:col>
      <xdr:colOff>489856</xdr:colOff>
      <xdr:row>138</xdr:row>
      <xdr:rowOff>43543</xdr:rowOff>
    </xdr:to>
    <xdr:graphicFrame macro="">
      <xdr:nvGraphicFramePr>
        <xdr:cNvPr id="6" name="Gráfico 5">
          <a:extLst>
            <a:ext uri="{FF2B5EF4-FFF2-40B4-BE49-F238E27FC236}">
              <a16:creationId xmlns:a16="http://schemas.microsoft.com/office/drawing/2014/main" id="{8B62BBF4-FA61-BA73-4693-ECC8D352C9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32657</xdr:colOff>
      <xdr:row>138</xdr:row>
      <xdr:rowOff>130629</xdr:rowOff>
    </xdr:from>
    <xdr:to>
      <xdr:col>12</xdr:col>
      <xdr:colOff>478971</xdr:colOff>
      <xdr:row>170</xdr:row>
      <xdr:rowOff>54427</xdr:rowOff>
    </xdr:to>
    <xdr:graphicFrame macro="">
      <xdr:nvGraphicFramePr>
        <xdr:cNvPr id="7" name="Gráfico 6">
          <a:extLst>
            <a:ext uri="{FF2B5EF4-FFF2-40B4-BE49-F238E27FC236}">
              <a16:creationId xmlns:a16="http://schemas.microsoft.com/office/drawing/2014/main" id="{EE032B99-D462-F8C4-286C-335E7AA464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32657</xdr:colOff>
      <xdr:row>170</xdr:row>
      <xdr:rowOff>76198</xdr:rowOff>
    </xdr:from>
    <xdr:to>
      <xdr:col>12</xdr:col>
      <xdr:colOff>478971</xdr:colOff>
      <xdr:row>200</xdr:row>
      <xdr:rowOff>76199</xdr:rowOff>
    </xdr:to>
    <xdr:graphicFrame macro="">
      <xdr:nvGraphicFramePr>
        <xdr:cNvPr id="8" name="Gráfico 7">
          <a:extLst>
            <a:ext uri="{FF2B5EF4-FFF2-40B4-BE49-F238E27FC236}">
              <a16:creationId xmlns:a16="http://schemas.microsoft.com/office/drawing/2014/main" id="{007DD5CD-1215-BBCF-8AC3-6480D251BA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97969</xdr:colOff>
      <xdr:row>200</xdr:row>
      <xdr:rowOff>21770</xdr:rowOff>
    </xdr:from>
    <xdr:to>
      <xdr:col>12</xdr:col>
      <xdr:colOff>468084</xdr:colOff>
      <xdr:row>230</xdr:row>
      <xdr:rowOff>21771</xdr:rowOff>
    </xdr:to>
    <xdr:graphicFrame macro="">
      <xdr:nvGraphicFramePr>
        <xdr:cNvPr id="9" name="Gráfico 8">
          <a:extLst>
            <a:ext uri="{FF2B5EF4-FFF2-40B4-BE49-F238E27FC236}">
              <a16:creationId xmlns:a16="http://schemas.microsoft.com/office/drawing/2014/main" id="{2D9EB5CA-FF47-6C65-D2E2-F61CB8F78E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30112011\escritorio\Respaldo%20pc%20seba\Respaldo%20pc%20seba\PRESUPUESTO%20SUBDERE\PRESUPUESTO%202014\Presupues%20Para%20Trabajar%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resupuesto%202014\Presupuesto%202014\Presupues%20y%20Compromisos%2031.1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Mod 1"/>
      <sheetName val="Hoja3"/>
      <sheetName val="Hoja2"/>
      <sheetName val="Clasificador Presupuestario"/>
    </sheetNames>
    <sheetDataSet>
      <sheetData sheetId="0" refreshError="1"/>
      <sheetData sheetId="1" refreshError="1"/>
      <sheetData sheetId="2" refreshError="1"/>
      <sheetData sheetId="3" refreshError="1"/>
      <sheetData sheetId="4">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201944543</v>
          </cell>
          <cell r="B66">
            <v>503</v>
          </cell>
          <cell r="C66" t="str">
            <v>De Otras Entidades Publicas</v>
          </cell>
        </row>
        <row r="67">
          <cell r="A67">
            <v>201944544</v>
          </cell>
          <cell r="B67">
            <v>504</v>
          </cell>
          <cell r="C67" t="str">
            <v>De Empresas Publicas no Financieras</v>
          </cell>
        </row>
        <row r="68">
          <cell r="A68">
            <v>201944545</v>
          </cell>
          <cell r="B68">
            <v>505</v>
          </cell>
          <cell r="C68" t="str">
            <v>De Empresas Publicas Financieras</v>
          </cell>
        </row>
        <row r="69">
          <cell r="A69">
            <v>201944546</v>
          </cell>
          <cell r="B69">
            <v>506</v>
          </cell>
          <cell r="C69" t="str">
            <v>De Gobiernos Extranjeros</v>
          </cell>
        </row>
        <row r="70">
          <cell r="A70">
            <v>201944547</v>
          </cell>
          <cell r="B70">
            <v>507</v>
          </cell>
          <cell r="C70" t="str">
            <v>De Organismos Internacionales</v>
          </cell>
        </row>
        <row r="71">
          <cell r="A71">
            <v>201944548</v>
          </cell>
          <cell r="B71">
            <v>6</v>
          </cell>
          <cell r="C71" t="str">
            <v>RENTAS DE LA PROPIEDAD</v>
          </cell>
        </row>
        <row r="72">
          <cell r="A72">
            <v>201944549</v>
          </cell>
          <cell r="B72">
            <v>601</v>
          </cell>
          <cell r="C72" t="str">
            <v>Arriendo de Activos No Financieros</v>
          </cell>
        </row>
        <row r="73">
          <cell r="A73">
            <v>201944550</v>
          </cell>
          <cell r="B73">
            <v>602</v>
          </cell>
          <cell r="C73" t="str">
            <v>Dividendos</v>
          </cell>
        </row>
        <row r="74">
          <cell r="A74">
            <v>201944551</v>
          </cell>
          <cell r="B74">
            <v>603</v>
          </cell>
          <cell r="C74" t="str">
            <v>Intereses</v>
          </cell>
        </row>
        <row r="75">
          <cell r="A75">
            <v>201944552</v>
          </cell>
          <cell r="B75">
            <v>604</v>
          </cell>
          <cell r="C75" t="str">
            <v>Participacion de Utilidades</v>
          </cell>
        </row>
        <row r="76">
          <cell r="A76">
            <v>201944553</v>
          </cell>
          <cell r="B76">
            <v>699</v>
          </cell>
          <cell r="C76" t="str">
            <v>Otras Rentas de la Propiedad</v>
          </cell>
        </row>
        <row r="77">
          <cell r="A77">
            <v>201944554</v>
          </cell>
          <cell r="B77">
            <v>7</v>
          </cell>
          <cell r="C77" t="str">
            <v>INGRESOS DE OPERACIN</v>
          </cell>
        </row>
        <row r="78">
          <cell r="A78">
            <v>201944555</v>
          </cell>
          <cell r="B78">
            <v>701</v>
          </cell>
          <cell r="C78" t="str">
            <v>Venta de Bienes</v>
          </cell>
        </row>
        <row r="79">
          <cell r="A79">
            <v>201944556</v>
          </cell>
          <cell r="B79">
            <v>702</v>
          </cell>
          <cell r="C79" t="str">
            <v>Venta de Servicios</v>
          </cell>
        </row>
        <row r="80">
          <cell r="A80">
            <v>201944557</v>
          </cell>
          <cell r="B80">
            <v>8</v>
          </cell>
          <cell r="C80" t="str">
            <v>OTROS INGRESOS CORRIENTES</v>
          </cell>
        </row>
        <row r="81">
          <cell r="A81">
            <v>201944558</v>
          </cell>
          <cell r="B81">
            <v>801</v>
          </cell>
          <cell r="C81" t="str">
            <v>Recuperaciones y Reembolsos por Licencias Medicas</v>
          </cell>
        </row>
        <row r="82">
          <cell r="A82">
            <v>201943631</v>
          </cell>
          <cell r="B82">
            <v>801001</v>
          </cell>
          <cell r="C82" t="str">
            <v>Reembolsos Art. 4 Ley N 19.345 y Ley N 19.117 Art. nico</v>
          </cell>
        </row>
        <row r="83">
          <cell r="A83">
            <v>201943632</v>
          </cell>
          <cell r="B83">
            <v>801002</v>
          </cell>
          <cell r="C83" t="str">
            <v>Recuperaciones Art. 12 Ley N 18.196 y Ley N 19.117 Art. nico</v>
          </cell>
        </row>
        <row r="84">
          <cell r="A84">
            <v>201943633</v>
          </cell>
          <cell r="B84">
            <v>802</v>
          </cell>
          <cell r="C84" t="str">
            <v>Multas y Sanciones Pecuniarias</v>
          </cell>
        </row>
        <row r="85">
          <cell r="A85">
            <v>201943634</v>
          </cell>
          <cell r="B85">
            <v>804</v>
          </cell>
          <cell r="C85" t="str">
            <v>Fondos de Terceros</v>
          </cell>
        </row>
        <row r="86">
          <cell r="A86">
            <v>201943635</v>
          </cell>
          <cell r="B86">
            <v>899</v>
          </cell>
          <cell r="C86" t="str">
            <v>Otros</v>
          </cell>
        </row>
        <row r="87">
          <cell r="A87">
            <v>201943636</v>
          </cell>
          <cell r="B87">
            <v>899001</v>
          </cell>
          <cell r="C87" t="str">
            <v>Devoluciones y Reintegros no Provenientes de Impuestos</v>
          </cell>
        </row>
        <row r="88">
          <cell r="A88">
            <v>201943637</v>
          </cell>
          <cell r="B88">
            <v>899003</v>
          </cell>
          <cell r="C88" t="str">
            <v>Fondos en Administracion en Banco Central</v>
          </cell>
        </row>
        <row r="89">
          <cell r="A89">
            <v>201943638</v>
          </cell>
          <cell r="B89">
            <v>899004</v>
          </cell>
          <cell r="C89" t="str">
            <v>ntegros Ley N 19.030</v>
          </cell>
        </row>
        <row r="90">
          <cell r="A90">
            <v>201943639</v>
          </cell>
          <cell r="B90">
            <v>899999</v>
          </cell>
          <cell r="C90" t="str">
            <v>Otros</v>
          </cell>
        </row>
        <row r="91">
          <cell r="A91">
            <v>201943640</v>
          </cell>
          <cell r="B91">
            <v>9</v>
          </cell>
          <cell r="C91" t="str">
            <v>APORTE FISCAL</v>
          </cell>
        </row>
        <row r="92">
          <cell r="A92">
            <v>201943641</v>
          </cell>
          <cell r="B92">
            <v>901</v>
          </cell>
          <cell r="C92" t="str">
            <v>Libre</v>
          </cell>
        </row>
        <row r="93">
          <cell r="A93">
            <v>201944574</v>
          </cell>
          <cell r="B93">
            <v>901001</v>
          </cell>
          <cell r="C93" t="str">
            <v>Remuneraciones</v>
          </cell>
        </row>
        <row r="94">
          <cell r="A94">
            <v>201944575</v>
          </cell>
          <cell r="B94">
            <v>901002</v>
          </cell>
          <cell r="C94" t="str">
            <v>Resto</v>
          </cell>
        </row>
        <row r="95">
          <cell r="A95">
            <v>201943642</v>
          </cell>
          <cell r="B95">
            <v>902</v>
          </cell>
          <cell r="C95" t="str">
            <v>Servicio de la Deuda Interna</v>
          </cell>
        </row>
        <row r="96">
          <cell r="A96">
            <v>201943643</v>
          </cell>
          <cell r="B96">
            <v>902001</v>
          </cell>
          <cell r="C96" t="str">
            <v>Amortizaciones</v>
          </cell>
        </row>
        <row r="97">
          <cell r="A97">
            <v>201943644</v>
          </cell>
          <cell r="B97">
            <v>902002</v>
          </cell>
          <cell r="C97" t="str">
            <v>Intereses</v>
          </cell>
        </row>
        <row r="98">
          <cell r="A98">
            <v>201943645</v>
          </cell>
          <cell r="B98">
            <v>902003</v>
          </cell>
          <cell r="C98" t="str">
            <v>Otros Gastos Financieros</v>
          </cell>
        </row>
        <row r="99">
          <cell r="A99">
            <v>201943646</v>
          </cell>
          <cell r="B99">
            <v>903</v>
          </cell>
          <cell r="C99" t="str">
            <v>Servicio de la Deuda Externa</v>
          </cell>
        </row>
        <row r="100">
          <cell r="A100">
            <v>201943647</v>
          </cell>
          <cell r="B100">
            <v>903001</v>
          </cell>
          <cell r="C100" t="str">
            <v>Amortizaciones</v>
          </cell>
        </row>
        <row r="101">
          <cell r="A101">
            <v>201943648</v>
          </cell>
          <cell r="B101">
            <v>903002</v>
          </cell>
          <cell r="C101" t="str">
            <v>Intereses</v>
          </cell>
        </row>
        <row r="102">
          <cell r="A102">
            <v>201944567</v>
          </cell>
          <cell r="B102">
            <v>903002001</v>
          </cell>
          <cell r="C102" t="str">
            <v>Intereses Servicio a la Deuda</v>
          </cell>
        </row>
        <row r="103">
          <cell r="A103">
            <v>201944566</v>
          </cell>
          <cell r="B103">
            <v>903002002</v>
          </cell>
          <cell r="C103" t="str">
            <v>Comisiones Servicio a la Deuda</v>
          </cell>
        </row>
        <row r="104">
          <cell r="A104">
            <v>201943649</v>
          </cell>
          <cell r="B104">
            <v>903003</v>
          </cell>
          <cell r="C104" t="str">
            <v>Otros Gastos Financieros</v>
          </cell>
        </row>
        <row r="105">
          <cell r="A105">
            <v>201943650</v>
          </cell>
          <cell r="B105">
            <v>10</v>
          </cell>
          <cell r="C105" t="str">
            <v>VENTA DE ACTIVOS NO FINANCIEROS</v>
          </cell>
        </row>
        <row r="106">
          <cell r="A106">
            <v>201943651</v>
          </cell>
          <cell r="B106">
            <v>1001</v>
          </cell>
          <cell r="C106" t="str">
            <v>Terrenos</v>
          </cell>
        </row>
        <row r="107">
          <cell r="A107">
            <v>201943652</v>
          </cell>
          <cell r="B107">
            <v>1002</v>
          </cell>
          <cell r="C107" t="str">
            <v>Edificios</v>
          </cell>
        </row>
        <row r="108">
          <cell r="A108">
            <v>201943653</v>
          </cell>
          <cell r="B108">
            <v>1003</v>
          </cell>
          <cell r="C108" t="str">
            <v>Vehiculos</v>
          </cell>
        </row>
        <row r="109">
          <cell r="A109">
            <v>201943654</v>
          </cell>
          <cell r="B109">
            <v>1004</v>
          </cell>
          <cell r="C109" t="str">
            <v>Mobiliario y Otros</v>
          </cell>
        </row>
        <row r="110">
          <cell r="A110">
            <v>201943655</v>
          </cell>
          <cell r="B110">
            <v>1005</v>
          </cell>
          <cell r="C110" t="str">
            <v>Maquinas y Equipos</v>
          </cell>
        </row>
        <row r="111">
          <cell r="A111">
            <v>201943656</v>
          </cell>
          <cell r="B111">
            <v>1006</v>
          </cell>
          <cell r="C111" t="str">
            <v>Equipos Informaticos</v>
          </cell>
        </row>
        <row r="112">
          <cell r="A112">
            <v>201943657</v>
          </cell>
          <cell r="B112">
            <v>1007</v>
          </cell>
          <cell r="C112" t="str">
            <v>Programas Informaticos</v>
          </cell>
        </row>
        <row r="113">
          <cell r="A113">
            <v>201943658</v>
          </cell>
          <cell r="B113">
            <v>1099</v>
          </cell>
          <cell r="C113" t="str">
            <v>Otros Activos no Financieros</v>
          </cell>
        </row>
        <row r="114">
          <cell r="A114">
            <v>201943659</v>
          </cell>
          <cell r="B114">
            <v>11</v>
          </cell>
          <cell r="C114" t="str">
            <v>VENTA DE ACTIVOS FINANCIEROS</v>
          </cell>
        </row>
        <row r="115">
          <cell r="A115">
            <v>201943660</v>
          </cell>
          <cell r="B115">
            <v>1101</v>
          </cell>
          <cell r="C115" t="str">
            <v>Venta o Rescate de Titulos y Valores</v>
          </cell>
        </row>
        <row r="116">
          <cell r="A116">
            <v>201943661</v>
          </cell>
          <cell r="B116">
            <v>1101001</v>
          </cell>
          <cell r="C116" t="str">
            <v>Depositos a Plazo</v>
          </cell>
        </row>
        <row r="117">
          <cell r="A117">
            <v>201943662</v>
          </cell>
          <cell r="B117">
            <v>1101002</v>
          </cell>
          <cell r="C117" t="str">
            <v>Pactos de Retrocompra</v>
          </cell>
        </row>
        <row r="118">
          <cell r="A118">
            <v>201943663</v>
          </cell>
          <cell r="B118">
            <v>1101003</v>
          </cell>
          <cell r="C118" t="str">
            <v>Cuotas de Fondos Mutuos</v>
          </cell>
        </row>
        <row r="119">
          <cell r="A119">
            <v>201943664</v>
          </cell>
          <cell r="B119">
            <v>1101004</v>
          </cell>
          <cell r="C119" t="str">
            <v>Bonos o Pagares</v>
          </cell>
        </row>
        <row r="120">
          <cell r="A120">
            <v>201943665</v>
          </cell>
          <cell r="B120">
            <v>1101005</v>
          </cell>
          <cell r="C120" t="str">
            <v>Letras Hipotecarias</v>
          </cell>
        </row>
        <row r="121">
          <cell r="A121">
            <v>201943666</v>
          </cell>
          <cell r="B121">
            <v>1101999</v>
          </cell>
          <cell r="C121" t="str">
            <v>Otros</v>
          </cell>
        </row>
        <row r="122">
          <cell r="A122">
            <v>201943667</v>
          </cell>
          <cell r="B122">
            <v>1102</v>
          </cell>
          <cell r="C122" t="str">
            <v>Venta de Acciones y Participaciones de Capital</v>
          </cell>
        </row>
        <row r="123">
          <cell r="A123">
            <v>201943668</v>
          </cell>
          <cell r="B123">
            <v>1103</v>
          </cell>
          <cell r="C123" t="str">
            <v>Operaciones de Cambio</v>
          </cell>
        </row>
        <row r="124">
          <cell r="A124">
            <v>201943669</v>
          </cell>
          <cell r="B124">
            <v>1199</v>
          </cell>
          <cell r="C124" t="str">
            <v>Otros Activos Financieros</v>
          </cell>
        </row>
        <row r="125">
          <cell r="A125">
            <v>201943670</v>
          </cell>
          <cell r="B125">
            <v>12</v>
          </cell>
          <cell r="C125" t="str">
            <v>RECUPERACION DE PRESTAMOS</v>
          </cell>
        </row>
        <row r="126">
          <cell r="A126">
            <v>201943671</v>
          </cell>
          <cell r="B126">
            <v>1201</v>
          </cell>
          <cell r="C126" t="str">
            <v>De Asistencia Social</v>
          </cell>
        </row>
        <row r="127">
          <cell r="A127">
            <v>201943672</v>
          </cell>
          <cell r="B127">
            <v>1202</v>
          </cell>
          <cell r="C127" t="str">
            <v>Hipotecarios</v>
          </cell>
        </row>
        <row r="128">
          <cell r="A128">
            <v>201943673</v>
          </cell>
          <cell r="B128">
            <v>1203</v>
          </cell>
          <cell r="C128" t="str">
            <v>Pignoraticios</v>
          </cell>
        </row>
        <row r="129">
          <cell r="A129">
            <v>201943674</v>
          </cell>
          <cell r="B129">
            <v>1204</v>
          </cell>
          <cell r="C129" t="str">
            <v>De Fomento</v>
          </cell>
        </row>
        <row r="130">
          <cell r="A130">
            <v>201943675</v>
          </cell>
          <cell r="B130">
            <v>1205</v>
          </cell>
          <cell r="C130" t="str">
            <v>Medicos</v>
          </cell>
        </row>
        <row r="131">
          <cell r="A131">
            <v>201943676</v>
          </cell>
          <cell r="B131">
            <v>1206</v>
          </cell>
          <cell r="C131" t="str">
            <v>Por Anticipos a Contratistas</v>
          </cell>
        </row>
        <row r="132">
          <cell r="A132">
            <v>201943677</v>
          </cell>
          <cell r="B132">
            <v>1207</v>
          </cell>
          <cell r="C132" t="str">
            <v>Por Anticipos por Cambio de Residencia</v>
          </cell>
        </row>
        <row r="133">
          <cell r="A133">
            <v>201943678</v>
          </cell>
          <cell r="B133">
            <v>1209</v>
          </cell>
          <cell r="C133" t="str">
            <v>Por Ventas a Plazo</v>
          </cell>
        </row>
        <row r="134">
          <cell r="A134">
            <v>201943679</v>
          </cell>
          <cell r="B134">
            <v>1210</v>
          </cell>
          <cell r="C134" t="str">
            <v>Ingresos por Percibir</v>
          </cell>
        </row>
        <row r="135">
          <cell r="A135">
            <v>201943680</v>
          </cell>
          <cell r="B135">
            <v>13</v>
          </cell>
          <cell r="C135" t="str">
            <v>TRANSFERENCIAS PARA GASTOS DE CAPITAL</v>
          </cell>
        </row>
        <row r="136">
          <cell r="A136">
            <v>201943681</v>
          </cell>
          <cell r="B136">
            <v>1301</v>
          </cell>
          <cell r="C136" t="str">
            <v>Del Sector Privado</v>
          </cell>
        </row>
        <row r="137">
          <cell r="A137">
            <v>201943682</v>
          </cell>
          <cell r="B137">
            <v>1302</v>
          </cell>
          <cell r="C137" t="str">
            <v>Del Gobierno Central</v>
          </cell>
        </row>
        <row r="138">
          <cell r="A138">
            <v>201944576</v>
          </cell>
          <cell r="B138">
            <v>1302006</v>
          </cell>
          <cell r="C138" t="str">
            <v>Subsecretaria de Educacion</v>
          </cell>
        </row>
        <row r="139">
          <cell r="A139">
            <v>201946402</v>
          </cell>
          <cell r="B139">
            <v>1302080</v>
          </cell>
          <cell r="C139" t="str">
            <v>Tesoro Publico Ley N20.378 - Fondo De Apoyo Regional (FAR)</v>
          </cell>
        </row>
        <row r="140">
          <cell r="A140">
            <v>201943683</v>
          </cell>
          <cell r="B140">
            <v>1303</v>
          </cell>
          <cell r="C140" t="str">
            <v>De Otras Entidades Publicas</v>
          </cell>
        </row>
        <row r="141">
          <cell r="A141">
            <v>201943684</v>
          </cell>
          <cell r="B141">
            <v>1304</v>
          </cell>
          <cell r="C141" t="str">
            <v>De Empresas Publicas no Financieras</v>
          </cell>
        </row>
        <row r="142">
          <cell r="A142">
            <v>201943685</v>
          </cell>
          <cell r="B142">
            <v>1305</v>
          </cell>
          <cell r="C142" t="str">
            <v>De Empresas Publicas Financieras</v>
          </cell>
        </row>
        <row r="143">
          <cell r="A143">
            <v>201943686</v>
          </cell>
          <cell r="B143">
            <v>1306</v>
          </cell>
          <cell r="C143" t="str">
            <v>De Gobiernos Extranjeros</v>
          </cell>
        </row>
        <row r="144">
          <cell r="A144">
            <v>201943687</v>
          </cell>
          <cell r="B144">
            <v>1307</v>
          </cell>
          <cell r="C144" t="str">
            <v>De Organismos Internacionales</v>
          </cell>
        </row>
        <row r="145">
          <cell r="A145">
            <v>201943688</v>
          </cell>
          <cell r="B145">
            <v>14</v>
          </cell>
          <cell r="C145" t="str">
            <v>ENDEUDAMIENTO</v>
          </cell>
        </row>
        <row r="146">
          <cell r="A146">
            <v>201943689</v>
          </cell>
          <cell r="B146">
            <v>1401</v>
          </cell>
          <cell r="C146" t="str">
            <v>Endeudamiento Interno</v>
          </cell>
        </row>
        <row r="147">
          <cell r="A147">
            <v>201943690</v>
          </cell>
          <cell r="B147">
            <v>1401001</v>
          </cell>
          <cell r="C147" t="str">
            <v>Colocacion de Valores</v>
          </cell>
        </row>
        <row r="148">
          <cell r="A148">
            <v>201943691</v>
          </cell>
          <cell r="B148">
            <v>1401002</v>
          </cell>
          <cell r="C148" t="str">
            <v>Emprestitos</v>
          </cell>
        </row>
        <row r="149">
          <cell r="A149">
            <v>201943692</v>
          </cell>
          <cell r="B149">
            <v>1401003</v>
          </cell>
          <cell r="C149" t="str">
            <v>Creditos de Proveedores</v>
          </cell>
        </row>
        <row r="150">
          <cell r="A150">
            <v>201943693</v>
          </cell>
          <cell r="B150">
            <v>1402</v>
          </cell>
          <cell r="C150" t="str">
            <v>Endeudamiento Externo</v>
          </cell>
        </row>
        <row r="151">
          <cell r="A151">
            <v>201943694</v>
          </cell>
          <cell r="B151">
            <v>1402001</v>
          </cell>
          <cell r="C151" t="str">
            <v>Colocacion de Valores</v>
          </cell>
        </row>
        <row r="152">
          <cell r="A152">
            <v>201943695</v>
          </cell>
          <cell r="B152">
            <v>1402002</v>
          </cell>
          <cell r="C152" t="str">
            <v>Emprestitos</v>
          </cell>
        </row>
        <row r="153">
          <cell r="A153">
            <v>201943696</v>
          </cell>
          <cell r="B153">
            <v>1402003</v>
          </cell>
          <cell r="C153" t="str">
            <v>Creditos de Proveedores</v>
          </cell>
        </row>
        <row r="154">
          <cell r="A154">
            <v>201943697</v>
          </cell>
          <cell r="B154">
            <v>15</v>
          </cell>
          <cell r="C154" t="str">
            <v>SALDO INICIAL DE CAJA</v>
          </cell>
        </row>
        <row r="155">
          <cell r="A155">
            <v>201943698</v>
          </cell>
          <cell r="B155">
            <v>21</v>
          </cell>
          <cell r="C155" t="str">
            <v>GASTOS EN PERSONAL</v>
          </cell>
        </row>
        <row r="156">
          <cell r="A156">
            <v>201943699</v>
          </cell>
          <cell r="B156">
            <v>2101</v>
          </cell>
          <cell r="C156" t="str">
            <v>Personal de Planta</v>
          </cell>
        </row>
        <row r="157">
          <cell r="A157">
            <v>201943700</v>
          </cell>
          <cell r="B157">
            <v>2101001</v>
          </cell>
          <cell r="C157" t="str">
            <v>Sueldos y Sobresueldos</v>
          </cell>
        </row>
        <row r="158">
          <cell r="A158">
            <v>201943701</v>
          </cell>
          <cell r="B158">
            <v>2101001001</v>
          </cell>
          <cell r="C158" t="str">
            <v>Sueldos Bases</v>
          </cell>
        </row>
        <row r="159">
          <cell r="A159">
            <v>201943702</v>
          </cell>
          <cell r="B159">
            <v>2101001002</v>
          </cell>
          <cell r="C159" t="str">
            <v>Asignacion de Antigedad</v>
          </cell>
        </row>
        <row r="160">
          <cell r="A160">
            <v>201943703</v>
          </cell>
          <cell r="B160">
            <v>2101001003</v>
          </cell>
          <cell r="C160" t="str">
            <v>Asignacion Profesional</v>
          </cell>
        </row>
        <row r="161">
          <cell r="A161">
            <v>201943704</v>
          </cell>
          <cell r="B161">
            <v>2101001004</v>
          </cell>
          <cell r="C161" t="str">
            <v>Asignacion de Zona</v>
          </cell>
        </row>
        <row r="162">
          <cell r="A162">
            <v>201943705</v>
          </cell>
          <cell r="B162">
            <v>2101001005</v>
          </cell>
          <cell r="C162" t="str">
            <v>Asignacion de Rancho</v>
          </cell>
        </row>
        <row r="163">
          <cell r="A163">
            <v>201943706</v>
          </cell>
          <cell r="B163">
            <v>2101001006</v>
          </cell>
          <cell r="C163" t="str">
            <v>Asignaciones del DL N 2.411, de 1978</v>
          </cell>
        </row>
        <row r="164">
          <cell r="A164">
            <v>201943707</v>
          </cell>
          <cell r="B164">
            <v>2101001007</v>
          </cell>
          <cell r="C164" t="str">
            <v>Asignaciones del DL N 3.551, de 1981</v>
          </cell>
        </row>
        <row r="165">
          <cell r="A165">
            <v>201943708</v>
          </cell>
          <cell r="B165">
            <v>2101001008</v>
          </cell>
          <cell r="C165" t="str">
            <v>Asignacion de Nivelacion</v>
          </cell>
        </row>
        <row r="166">
          <cell r="A166">
            <v>201943709</v>
          </cell>
          <cell r="B166">
            <v>2101001009</v>
          </cell>
          <cell r="C166" t="str">
            <v>Asignaciones Especiales</v>
          </cell>
        </row>
        <row r="167">
          <cell r="A167">
            <v>201943710</v>
          </cell>
          <cell r="B167">
            <v>2101001010</v>
          </cell>
          <cell r="C167" t="str">
            <v>Asignacion de Perdida de Caja</v>
          </cell>
        </row>
        <row r="168">
          <cell r="A168">
            <v>201943711</v>
          </cell>
          <cell r="B168">
            <v>2101001011</v>
          </cell>
          <cell r="C168" t="str">
            <v>Asignacion de Movilizacion</v>
          </cell>
        </row>
        <row r="169">
          <cell r="A169">
            <v>201943712</v>
          </cell>
          <cell r="B169">
            <v>2101001012</v>
          </cell>
          <cell r="C169" t="str">
            <v>Gastos de Representacion</v>
          </cell>
        </row>
        <row r="170">
          <cell r="A170">
            <v>201943713</v>
          </cell>
          <cell r="B170">
            <v>2101001013</v>
          </cell>
          <cell r="C170" t="str">
            <v>Asignacion de Direccion Superior</v>
          </cell>
        </row>
        <row r="171">
          <cell r="A171">
            <v>201943714</v>
          </cell>
          <cell r="B171">
            <v>2101001014</v>
          </cell>
          <cell r="C171" t="str">
            <v>Asignaciones Compensatorias</v>
          </cell>
        </row>
        <row r="172">
          <cell r="A172">
            <v>201943715</v>
          </cell>
          <cell r="B172">
            <v>2101001015</v>
          </cell>
          <cell r="C172" t="str">
            <v>Asignaciones Sustitutivas</v>
          </cell>
        </row>
        <row r="173">
          <cell r="A173">
            <v>201943716</v>
          </cell>
          <cell r="B173">
            <v>2101001016</v>
          </cell>
          <cell r="C173" t="str">
            <v>Asignacion de Dedicacion Exclusiva</v>
          </cell>
        </row>
        <row r="174">
          <cell r="A174">
            <v>201943717</v>
          </cell>
          <cell r="B174">
            <v>2101001017</v>
          </cell>
          <cell r="C174" t="str">
            <v>Asignacion para Operador de Maquinaria Pesada</v>
          </cell>
        </row>
        <row r="175">
          <cell r="A175">
            <v>201943718</v>
          </cell>
          <cell r="B175">
            <v>2101001018</v>
          </cell>
          <cell r="C175" t="str">
            <v>Asignacion de Defensa Judicial Estatal</v>
          </cell>
        </row>
        <row r="176">
          <cell r="A176">
            <v>201943719</v>
          </cell>
          <cell r="B176">
            <v>2101001019</v>
          </cell>
          <cell r="C176" t="str">
            <v>Asignacion de Responsabilidad</v>
          </cell>
        </row>
        <row r="177">
          <cell r="A177">
            <v>201943720</v>
          </cell>
          <cell r="B177">
            <v>2101001020</v>
          </cell>
          <cell r="C177" t="str">
            <v>Asignacion por Turno</v>
          </cell>
        </row>
        <row r="178">
          <cell r="A178">
            <v>201943721</v>
          </cell>
          <cell r="B178">
            <v>2101001021</v>
          </cell>
          <cell r="C178" t="str">
            <v>Asignacion Articulo 1 Ley N 19.264</v>
          </cell>
        </row>
        <row r="179">
          <cell r="A179">
            <v>201943722</v>
          </cell>
          <cell r="B179">
            <v>2101001022</v>
          </cell>
          <cell r="C179" t="str">
            <v>Componente Base Asignacion de Desempeno</v>
          </cell>
        </row>
        <row r="180">
          <cell r="A180">
            <v>201943723</v>
          </cell>
          <cell r="B180">
            <v>2101001023</v>
          </cell>
          <cell r="C180" t="str">
            <v>Asignacion de Control</v>
          </cell>
        </row>
        <row r="181">
          <cell r="A181">
            <v>201943724</v>
          </cell>
          <cell r="B181">
            <v>2101001024</v>
          </cell>
          <cell r="C181" t="str">
            <v>Asignacion de Defensa Penal Publica</v>
          </cell>
        </row>
        <row r="182">
          <cell r="A182">
            <v>201943725</v>
          </cell>
          <cell r="B182">
            <v>2101001025</v>
          </cell>
          <cell r="C182" t="str">
            <v>Asignacion Articulo 1 Ley N 19. 112</v>
          </cell>
        </row>
        <row r="183">
          <cell r="A183">
            <v>201943726</v>
          </cell>
          <cell r="B183">
            <v>2101001026</v>
          </cell>
          <cell r="C183" t="str">
            <v>Asignacion Articulo 1 Ley N 19.432</v>
          </cell>
        </row>
        <row r="184">
          <cell r="A184">
            <v>201943727</v>
          </cell>
          <cell r="B184">
            <v>2101001027</v>
          </cell>
          <cell r="C184" t="str">
            <v>Asignacion de Estimulo Personal Medico Diurno</v>
          </cell>
        </row>
        <row r="185">
          <cell r="A185">
            <v>201943728</v>
          </cell>
          <cell r="B185">
            <v>2101001028</v>
          </cell>
          <cell r="C185" t="str">
            <v>Asignacion de Estimulo Personal Medico y Profesores</v>
          </cell>
        </row>
        <row r="186">
          <cell r="A186">
            <v>201943729</v>
          </cell>
          <cell r="B186">
            <v>2101001029</v>
          </cell>
          <cell r="C186" t="str">
            <v>Aplicacion Articulo 7 Ley N 19.112</v>
          </cell>
        </row>
        <row r="187">
          <cell r="A187">
            <v>201943730</v>
          </cell>
          <cell r="B187">
            <v>2101001030</v>
          </cell>
          <cell r="C187" t="str">
            <v>Asignacion de Estimulo por Falencia</v>
          </cell>
        </row>
        <row r="188">
          <cell r="A188">
            <v>201943731</v>
          </cell>
          <cell r="B188">
            <v>2101001031</v>
          </cell>
          <cell r="C188" t="str">
            <v>Asignacion de Experiencia Calificada</v>
          </cell>
        </row>
        <row r="189">
          <cell r="A189">
            <v>201943732</v>
          </cell>
          <cell r="B189">
            <v>2101001032</v>
          </cell>
          <cell r="C189" t="str">
            <v>Asignacion de Reforzamiento Profesional Diurno</v>
          </cell>
        </row>
        <row r="190">
          <cell r="A190">
            <v>201943733</v>
          </cell>
          <cell r="B190">
            <v>2101001033</v>
          </cell>
          <cell r="C190" t="str">
            <v>Asignacion Judicial</v>
          </cell>
        </row>
        <row r="191">
          <cell r="A191">
            <v>201943734</v>
          </cell>
          <cell r="B191">
            <v>2101001034</v>
          </cell>
          <cell r="C191" t="str">
            <v>Asignacion de Casa</v>
          </cell>
        </row>
        <row r="192">
          <cell r="A192">
            <v>201943735</v>
          </cell>
          <cell r="B192">
            <v>2101001035</v>
          </cell>
          <cell r="C192" t="str">
            <v>Asignacion Legislativa</v>
          </cell>
        </row>
        <row r="193">
          <cell r="A193">
            <v>201943736</v>
          </cell>
          <cell r="B193">
            <v>2101001036</v>
          </cell>
          <cell r="C193" t="str">
            <v>Asignacion Articulo 11 Ley N 19.041</v>
          </cell>
        </row>
        <row r="194">
          <cell r="A194">
            <v>201943737</v>
          </cell>
          <cell r="B194">
            <v>2101001037</v>
          </cell>
          <cell r="C194" t="str">
            <v>Asignacion nica</v>
          </cell>
        </row>
        <row r="195">
          <cell r="A195">
            <v>201943738</v>
          </cell>
          <cell r="B195">
            <v>2101001038</v>
          </cell>
          <cell r="C195" t="str">
            <v>Asignacion Zonas Extremas</v>
          </cell>
        </row>
        <row r="196">
          <cell r="A196">
            <v>201943739</v>
          </cell>
          <cell r="B196">
            <v>2101001039</v>
          </cell>
          <cell r="C196" t="str">
            <v>Asignacion de Responsabilidad Superior</v>
          </cell>
        </row>
        <row r="197">
          <cell r="A197">
            <v>201943740</v>
          </cell>
          <cell r="B197">
            <v>2101001040</v>
          </cell>
          <cell r="C197" t="str">
            <v>Asignacion Familiar en el Exterior</v>
          </cell>
        </row>
        <row r="198">
          <cell r="A198">
            <v>201943741</v>
          </cell>
          <cell r="B198">
            <v>2101001041</v>
          </cell>
          <cell r="C198" t="str">
            <v>Asignaciones Exclusivas de las Fuerzas Armadas y de Orden</v>
          </cell>
        </row>
        <row r="199">
          <cell r="A199">
            <v>201943742</v>
          </cell>
          <cell r="B199">
            <v>2101001042</v>
          </cell>
          <cell r="C199" t="str">
            <v>Asignaciones por Desempeno en el Exterior</v>
          </cell>
        </row>
        <row r="200">
          <cell r="A200">
            <v>201943743</v>
          </cell>
          <cell r="B200">
            <v>2101001043</v>
          </cell>
          <cell r="C200" t="str">
            <v>Asignacion Inherente al Cargo Ley N 18.695</v>
          </cell>
        </row>
        <row r="201">
          <cell r="A201">
            <v>201943744</v>
          </cell>
          <cell r="B201">
            <v>2101001999</v>
          </cell>
          <cell r="C201" t="str">
            <v>Otras Asignaciones</v>
          </cell>
        </row>
        <row r="202">
          <cell r="A202">
            <v>201943745</v>
          </cell>
          <cell r="B202">
            <v>2101002</v>
          </cell>
          <cell r="C202" t="str">
            <v>Aportes del Empleador</v>
          </cell>
        </row>
        <row r="203">
          <cell r="A203">
            <v>201943746</v>
          </cell>
          <cell r="B203">
            <v>2101002001</v>
          </cell>
          <cell r="C203" t="str">
            <v>A Servicios de Bienestar</v>
          </cell>
        </row>
        <row r="204">
          <cell r="A204">
            <v>201943747</v>
          </cell>
          <cell r="B204">
            <v>2101002002</v>
          </cell>
          <cell r="C204" t="str">
            <v>Otras Cotizaciones Previsionales</v>
          </cell>
        </row>
        <row r="205">
          <cell r="A205">
            <v>201943748</v>
          </cell>
          <cell r="B205">
            <v>2101002003</v>
          </cell>
          <cell r="C205" t="str">
            <v>Cotizacion Adicional, Articulo 8 Ley N 18.566</v>
          </cell>
        </row>
        <row r="206">
          <cell r="A206">
            <v>201943749</v>
          </cell>
          <cell r="B206">
            <v>2101003</v>
          </cell>
          <cell r="C206" t="str">
            <v>Asignaciones por Desempeno</v>
          </cell>
        </row>
        <row r="207">
          <cell r="A207">
            <v>201943750</v>
          </cell>
          <cell r="B207">
            <v>2101003001</v>
          </cell>
          <cell r="C207" t="str">
            <v>Desempeno Institucional</v>
          </cell>
        </row>
        <row r="208">
          <cell r="A208">
            <v>201943751</v>
          </cell>
          <cell r="B208">
            <v>2101003002</v>
          </cell>
          <cell r="C208" t="str">
            <v>Desempeno Colectivo</v>
          </cell>
        </row>
        <row r="209">
          <cell r="A209">
            <v>201943752</v>
          </cell>
          <cell r="B209">
            <v>2101003003</v>
          </cell>
          <cell r="C209" t="str">
            <v>Desempeno Individual</v>
          </cell>
        </row>
        <row r="210">
          <cell r="A210">
            <v>201947065</v>
          </cell>
          <cell r="B210">
            <v>2101003004</v>
          </cell>
          <cell r="C210" t="str">
            <v>Asignacion por Produccion</v>
          </cell>
        </row>
        <row r="211">
          <cell r="A211">
            <v>201947066</v>
          </cell>
          <cell r="B211">
            <v>2101003005</v>
          </cell>
          <cell r="C211" t="str">
            <v>Asignacion Mejoramiento de Trato a los Usuarios</v>
          </cell>
        </row>
        <row r="212">
          <cell r="A212">
            <v>201943753</v>
          </cell>
          <cell r="B212">
            <v>2101004</v>
          </cell>
          <cell r="C212" t="str">
            <v>Remuneraciones Variables</v>
          </cell>
        </row>
        <row r="213">
          <cell r="A213">
            <v>201943754</v>
          </cell>
          <cell r="B213">
            <v>2101004001</v>
          </cell>
          <cell r="C213" t="str">
            <v>Asignacion Articulo 12 Ley N 19.041</v>
          </cell>
        </row>
        <row r="214">
          <cell r="A214">
            <v>201943755</v>
          </cell>
          <cell r="B214">
            <v>2101004002</v>
          </cell>
          <cell r="C214" t="str">
            <v>Asignacion de Estimulo Jornadas Prioritarias</v>
          </cell>
        </row>
        <row r="215">
          <cell r="A215">
            <v>201943756</v>
          </cell>
          <cell r="B215">
            <v>2101004003</v>
          </cell>
          <cell r="C215" t="str">
            <v>Asignacion Articulo 3 Ley N 19.264</v>
          </cell>
        </row>
        <row r="216">
          <cell r="A216">
            <v>201943757</v>
          </cell>
          <cell r="B216">
            <v>2101004004</v>
          </cell>
          <cell r="C216" t="str">
            <v>Asignacion por Desempeno de Funciones Criticas</v>
          </cell>
        </row>
        <row r="217">
          <cell r="A217">
            <v>201943758</v>
          </cell>
          <cell r="B217">
            <v>2101004005</v>
          </cell>
          <cell r="C217" t="str">
            <v>Trabajos Extraordinarios</v>
          </cell>
        </row>
        <row r="218">
          <cell r="A218">
            <v>201943759</v>
          </cell>
          <cell r="B218">
            <v>2101004006</v>
          </cell>
          <cell r="C218" t="str">
            <v>Comisiones de Servicios en el Pais</v>
          </cell>
        </row>
        <row r="219">
          <cell r="A219">
            <v>201943760</v>
          </cell>
          <cell r="B219">
            <v>2101004007</v>
          </cell>
          <cell r="C219" t="str">
            <v>Comisiones de Servicios en el Exterior</v>
          </cell>
        </row>
        <row r="220">
          <cell r="A220">
            <v>201943761</v>
          </cell>
          <cell r="B220">
            <v>2101005</v>
          </cell>
          <cell r="C220" t="str">
            <v>Aguinaldos y Bonos</v>
          </cell>
        </row>
        <row r="221">
          <cell r="A221">
            <v>201943762</v>
          </cell>
          <cell r="B221">
            <v>2101005001</v>
          </cell>
          <cell r="C221" t="str">
            <v>Aguinaldos</v>
          </cell>
        </row>
        <row r="222">
          <cell r="A222">
            <v>201943763</v>
          </cell>
          <cell r="B222">
            <v>2101005002</v>
          </cell>
          <cell r="C222" t="str">
            <v>Bono de Escolaridad</v>
          </cell>
        </row>
        <row r="223">
          <cell r="A223">
            <v>201943764</v>
          </cell>
          <cell r="B223">
            <v>2101005003</v>
          </cell>
          <cell r="C223" t="str">
            <v>Bonos Especiales</v>
          </cell>
        </row>
        <row r="224">
          <cell r="A224">
            <v>201943765</v>
          </cell>
          <cell r="B224">
            <v>2101005004</v>
          </cell>
          <cell r="C224" t="str">
            <v>Bonificacion Adicional al Bono de Escolaridad</v>
          </cell>
        </row>
        <row r="225">
          <cell r="A225">
            <v>201943766</v>
          </cell>
          <cell r="B225">
            <v>2102</v>
          </cell>
          <cell r="C225" t="str">
            <v>Personal a Contrata</v>
          </cell>
        </row>
        <row r="226">
          <cell r="A226">
            <v>201943767</v>
          </cell>
          <cell r="B226">
            <v>2102001</v>
          </cell>
          <cell r="C226" t="str">
            <v>Sueldos y Sobresueldos</v>
          </cell>
        </row>
        <row r="227">
          <cell r="A227">
            <v>201943768</v>
          </cell>
          <cell r="B227">
            <v>2102001001</v>
          </cell>
          <cell r="C227" t="str">
            <v>Sueldos Bases</v>
          </cell>
        </row>
        <row r="228">
          <cell r="A228">
            <v>201943769</v>
          </cell>
          <cell r="B228">
            <v>2102001002</v>
          </cell>
          <cell r="C228" t="str">
            <v>Asignacion de Antigedad</v>
          </cell>
        </row>
        <row r="229">
          <cell r="A229">
            <v>201943770</v>
          </cell>
          <cell r="B229">
            <v>2102001003</v>
          </cell>
          <cell r="C229" t="str">
            <v>Asignacion Profesional</v>
          </cell>
        </row>
        <row r="230">
          <cell r="A230">
            <v>201943771</v>
          </cell>
          <cell r="B230">
            <v>2102001004</v>
          </cell>
          <cell r="C230" t="str">
            <v>Asignacion de Zona</v>
          </cell>
        </row>
        <row r="231">
          <cell r="A231">
            <v>201943772</v>
          </cell>
          <cell r="B231">
            <v>2102001005</v>
          </cell>
          <cell r="C231" t="str">
            <v>Asignacion de Rancho</v>
          </cell>
        </row>
        <row r="232">
          <cell r="A232">
            <v>201943773</v>
          </cell>
          <cell r="B232">
            <v>2102001006</v>
          </cell>
          <cell r="C232" t="str">
            <v>Asignaciones del DL N 2.411, de 1978</v>
          </cell>
        </row>
        <row r="233">
          <cell r="A233">
            <v>201943774</v>
          </cell>
          <cell r="B233">
            <v>2102001007</v>
          </cell>
          <cell r="C233" t="str">
            <v>Asignaciones del DL N 3.551, de 1981</v>
          </cell>
        </row>
        <row r="234">
          <cell r="A234">
            <v>201943775</v>
          </cell>
          <cell r="B234">
            <v>2102001008</v>
          </cell>
          <cell r="C234" t="str">
            <v>Asignacion de Nivelacion</v>
          </cell>
        </row>
        <row r="235">
          <cell r="A235">
            <v>201943776</v>
          </cell>
          <cell r="B235">
            <v>2102001009</v>
          </cell>
          <cell r="C235" t="str">
            <v>Asignaciones Especiales</v>
          </cell>
        </row>
        <row r="236">
          <cell r="A236">
            <v>201943777</v>
          </cell>
          <cell r="B236">
            <v>2102001010</v>
          </cell>
          <cell r="C236" t="str">
            <v>Asignacion de Perdida de Caja</v>
          </cell>
        </row>
        <row r="237">
          <cell r="A237">
            <v>201943778</v>
          </cell>
          <cell r="B237">
            <v>2102001011</v>
          </cell>
          <cell r="C237" t="str">
            <v>Asignacion de Movilizacion</v>
          </cell>
        </row>
        <row r="238">
          <cell r="A238">
            <v>201943779</v>
          </cell>
          <cell r="B238">
            <v>2102001012</v>
          </cell>
          <cell r="C238" t="str">
            <v>Gastos de Representacion</v>
          </cell>
        </row>
        <row r="239">
          <cell r="A239">
            <v>201943780</v>
          </cell>
          <cell r="B239">
            <v>2102001013</v>
          </cell>
          <cell r="C239" t="str">
            <v>Asignaciones Compensatorias</v>
          </cell>
        </row>
        <row r="240">
          <cell r="A240">
            <v>201943781</v>
          </cell>
          <cell r="B240">
            <v>2102001014</v>
          </cell>
          <cell r="C240" t="str">
            <v>Asignaciones Sustitutivas</v>
          </cell>
        </row>
        <row r="241">
          <cell r="A241">
            <v>201943782</v>
          </cell>
          <cell r="B241">
            <v>2102001015</v>
          </cell>
          <cell r="C241" t="str">
            <v>Asignacion de Dedicacion Exclusiva</v>
          </cell>
        </row>
        <row r="242">
          <cell r="A242">
            <v>201943783</v>
          </cell>
          <cell r="B242">
            <v>2102001016</v>
          </cell>
          <cell r="C242" t="str">
            <v>Asignacion para Operador de Maquinaria Pesada</v>
          </cell>
        </row>
        <row r="243">
          <cell r="A243">
            <v>201943784</v>
          </cell>
          <cell r="B243">
            <v>2102001017</v>
          </cell>
          <cell r="C243" t="str">
            <v>Asignacion de Defensa Judicial Estatal</v>
          </cell>
        </row>
        <row r="244">
          <cell r="A244">
            <v>201943785</v>
          </cell>
          <cell r="B244">
            <v>2102001018</v>
          </cell>
          <cell r="C244" t="str">
            <v>Asignacion de Responsabilidad</v>
          </cell>
        </row>
        <row r="245">
          <cell r="A245">
            <v>201943786</v>
          </cell>
          <cell r="B245">
            <v>2102001019</v>
          </cell>
          <cell r="C245" t="str">
            <v>Asignacion por Turno</v>
          </cell>
        </row>
        <row r="246">
          <cell r="A246">
            <v>201943787</v>
          </cell>
          <cell r="B246">
            <v>2102001020</v>
          </cell>
          <cell r="C246" t="str">
            <v>Asignacion Articulo 1 Ley N 19.264</v>
          </cell>
        </row>
        <row r="247">
          <cell r="A247">
            <v>201943788</v>
          </cell>
          <cell r="B247">
            <v>2102001021</v>
          </cell>
          <cell r="C247" t="str">
            <v>Componente Base Asignacion de Desempeno</v>
          </cell>
        </row>
        <row r="248">
          <cell r="A248">
            <v>201943789</v>
          </cell>
          <cell r="B248">
            <v>2102001022</v>
          </cell>
          <cell r="C248" t="str">
            <v>Asignacion de Control</v>
          </cell>
        </row>
        <row r="249">
          <cell r="A249">
            <v>201943790</v>
          </cell>
          <cell r="B249">
            <v>2102001023</v>
          </cell>
          <cell r="C249" t="str">
            <v>Asignacion de Defensa Penal Publica</v>
          </cell>
        </row>
        <row r="250">
          <cell r="A250">
            <v>201943791</v>
          </cell>
          <cell r="B250">
            <v>2102001024</v>
          </cell>
          <cell r="C250" t="str">
            <v>Asignacion Articulo 1 Ley N 19. 112</v>
          </cell>
        </row>
        <row r="251">
          <cell r="A251">
            <v>201943792</v>
          </cell>
          <cell r="B251">
            <v>2102001025</v>
          </cell>
          <cell r="C251" t="str">
            <v>Asignacion Articulo 1 Ley N 19.432</v>
          </cell>
        </row>
        <row r="252">
          <cell r="A252">
            <v>201943793</v>
          </cell>
          <cell r="B252">
            <v>2102001026</v>
          </cell>
          <cell r="C252" t="str">
            <v>Asignacion de Estimulo Personal Medico Diurno</v>
          </cell>
        </row>
        <row r="253">
          <cell r="A253">
            <v>201943794</v>
          </cell>
          <cell r="B253">
            <v>2102001027</v>
          </cell>
          <cell r="C253" t="str">
            <v>Asignacion de Estimulo Personal Medico y Profesores</v>
          </cell>
        </row>
        <row r="254">
          <cell r="A254">
            <v>201943795</v>
          </cell>
          <cell r="B254">
            <v>2102001028</v>
          </cell>
          <cell r="C254" t="str">
            <v>Aplicacion Articulo 7 Ley N 19.112</v>
          </cell>
        </row>
        <row r="255">
          <cell r="A255">
            <v>201943796</v>
          </cell>
          <cell r="B255">
            <v>2102001029</v>
          </cell>
          <cell r="C255" t="str">
            <v>Asignacion de Estimulo por Falencia</v>
          </cell>
        </row>
        <row r="256">
          <cell r="A256">
            <v>201943797</v>
          </cell>
          <cell r="B256">
            <v>2102001030</v>
          </cell>
          <cell r="C256" t="str">
            <v>Asignacion de Experiencia Calificada</v>
          </cell>
        </row>
        <row r="257">
          <cell r="A257">
            <v>201943798</v>
          </cell>
          <cell r="B257">
            <v>2102001031</v>
          </cell>
          <cell r="C257" t="str">
            <v>Asignacion de Reforzamiento Profesional Diurno</v>
          </cell>
        </row>
        <row r="258">
          <cell r="A258">
            <v>201943799</v>
          </cell>
          <cell r="B258">
            <v>2102001032</v>
          </cell>
          <cell r="C258" t="str">
            <v>Asignacion Judicial</v>
          </cell>
        </row>
        <row r="259">
          <cell r="A259">
            <v>201943800</v>
          </cell>
          <cell r="B259">
            <v>2102001033</v>
          </cell>
          <cell r="C259" t="str">
            <v>Asignacion de Casa</v>
          </cell>
        </row>
        <row r="260">
          <cell r="A260">
            <v>201943801</v>
          </cell>
          <cell r="B260">
            <v>2102001034</v>
          </cell>
          <cell r="C260" t="str">
            <v>Asignacion Legislativa</v>
          </cell>
        </row>
        <row r="261">
          <cell r="A261">
            <v>201943802</v>
          </cell>
          <cell r="B261">
            <v>2102001035</v>
          </cell>
          <cell r="C261" t="str">
            <v>Asignacion Articulo 11 Ley N 19.041</v>
          </cell>
        </row>
        <row r="262">
          <cell r="A262">
            <v>201943803</v>
          </cell>
          <cell r="B262">
            <v>2102001036</v>
          </cell>
          <cell r="C262" t="str">
            <v>Asignacion nica</v>
          </cell>
        </row>
        <row r="263">
          <cell r="A263">
            <v>201943804</v>
          </cell>
          <cell r="B263">
            <v>2102001037</v>
          </cell>
          <cell r="C263" t="str">
            <v>Asignacion Zonas Extremas</v>
          </cell>
        </row>
        <row r="264">
          <cell r="A264">
            <v>201943805</v>
          </cell>
          <cell r="B264">
            <v>2102001038</v>
          </cell>
          <cell r="C264" t="str">
            <v>Asignacion de Responsabilidad Superior</v>
          </cell>
        </row>
        <row r="265">
          <cell r="A265">
            <v>201943806</v>
          </cell>
          <cell r="B265">
            <v>2102001039</v>
          </cell>
          <cell r="C265" t="str">
            <v>Asignacion Familiar en el Exterior</v>
          </cell>
        </row>
        <row r="266">
          <cell r="A266">
            <v>201943807</v>
          </cell>
          <cell r="B266">
            <v>2102001040</v>
          </cell>
          <cell r="C266" t="str">
            <v>Asignaciones Exclusivas de las Fuerzas Armadas y de Orden</v>
          </cell>
        </row>
        <row r="267">
          <cell r="A267">
            <v>201943808</v>
          </cell>
          <cell r="B267">
            <v>2102001041</v>
          </cell>
          <cell r="C267" t="str">
            <v>Asignaciones por Desempeno en el Exterior</v>
          </cell>
        </row>
        <row r="268">
          <cell r="A268">
            <v>201943809</v>
          </cell>
          <cell r="B268">
            <v>2102001999</v>
          </cell>
          <cell r="C268" t="str">
            <v>Otras Asignaciones</v>
          </cell>
        </row>
        <row r="269">
          <cell r="A269">
            <v>201943810</v>
          </cell>
          <cell r="B269">
            <v>2102002</v>
          </cell>
          <cell r="C269" t="str">
            <v>Aportes del Empleador</v>
          </cell>
        </row>
        <row r="270">
          <cell r="A270">
            <v>201943811</v>
          </cell>
          <cell r="B270">
            <v>2102002001</v>
          </cell>
          <cell r="C270" t="str">
            <v>A Servicios de Bienestar</v>
          </cell>
        </row>
        <row r="271">
          <cell r="A271">
            <v>201943812</v>
          </cell>
          <cell r="B271">
            <v>2102002002</v>
          </cell>
          <cell r="C271" t="str">
            <v>Otras Cotizaciones Previsionales</v>
          </cell>
        </row>
        <row r="272">
          <cell r="A272">
            <v>201943813</v>
          </cell>
          <cell r="B272">
            <v>2102002003</v>
          </cell>
          <cell r="C272" t="str">
            <v>Cotizacion Adicional, Articulo 8 Ley N 18.566</v>
          </cell>
        </row>
        <row r="273">
          <cell r="A273">
            <v>201943814</v>
          </cell>
          <cell r="B273">
            <v>2102003</v>
          </cell>
          <cell r="C273" t="str">
            <v>Asignaciones por Desempeno</v>
          </cell>
        </row>
        <row r="274">
          <cell r="A274">
            <v>201943815</v>
          </cell>
          <cell r="B274">
            <v>2102003001</v>
          </cell>
          <cell r="C274" t="str">
            <v>Desempeno Institucional</v>
          </cell>
        </row>
        <row r="275">
          <cell r="A275">
            <v>201943816</v>
          </cell>
          <cell r="B275">
            <v>2102003002</v>
          </cell>
          <cell r="C275" t="str">
            <v>Desempeno Colectivo</v>
          </cell>
        </row>
        <row r="276">
          <cell r="A276">
            <v>201943817</v>
          </cell>
          <cell r="B276">
            <v>2102003003</v>
          </cell>
          <cell r="C276" t="str">
            <v>Desempeno Individual</v>
          </cell>
        </row>
        <row r="277">
          <cell r="A277">
            <v>201947067</v>
          </cell>
          <cell r="B277">
            <v>2102003004</v>
          </cell>
          <cell r="C277" t="str">
            <v>Asignacion por Produccion</v>
          </cell>
        </row>
        <row r="278">
          <cell r="A278">
            <v>201947068</v>
          </cell>
          <cell r="B278">
            <v>2102003005</v>
          </cell>
          <cell r="C278" t="str">
            <v>Asignacion Mejoramiento de Trato a los Usuarios</v>
          </cell>
        </row>
        <row r="279">
          <cell r="A279">
            <v>201943818</v>
          </cell>
          <cell r="B279">
            <v>2102004</v>
          </cell>
          <cell r="C279" t="str">
            <v>Remuneraciones Variables</v>
          </cell>
        </row>
        <row r="280">
          <cell r="A280">
            <v>201943819</v>
          </cell>
          <cell r="B280">
            <v>2102004001</v>
          </cell>
          <cell r="C280" t="str">
            <v>Asignacion Articulo 12 Ley N 19.041</v>
          </cell>
        </row>
        <row r="281">
          <cell r="A281">
            <v>201943820</v>
          </cell>
          <cell r="B281">
            <v>2102004002</v>
          </cell>
          <cell r="C281" t="str">
            <v>Asignacion de Estimulo Jornadas Prioritarias</v>
          </cell>
        </row>
        <row r="282">
          <cell r="A282">
            <v>201943821</v>
          </cell>
          <cell r="B282">
            <v>2102004003</v>
          </cell>
          <cell r="C282" t="str">
            <v>Asignacion Articulo 3 Ley N 19.264</v>
          </cell>
        </row>
        <row r="283">
          <cell r="A283">
            <v>201943822</v>
          </cell>
          <cell r="B283">
            <v>2102004004</v>
          </cell>
          <cell r="C283" t="str">
            <v>Asignacion por Desempeno de Funciones Criticas</v>
          </cell>
        </row>
        <row r="284">
          <cell r="A284">
            <v>201943823</v>
          </cell>
          <cell r="B284">
            <v>2102004005</v>
          </cell>
          <cell r="C284" t="str">
            <v>Trabajos Extraordinarios</v>
          </cell>
        </row>
        <row r="285">
          <cell r="A285">
            <v>201943824</v>
          </cell>
          <cell r="B285">
            <v>2102004006</v>
          </cell>
          <cell r="C285" t="str">
            <v>Comisiones de Servicios en el Pais</v>
          </cell>
        </row>
        <row r="286">
          <cell r="A286">
            <v>201943825</v>
          </cell>
          <cell r="B286">
            <v>2102004007</v>
          </cell>
          <cell r="C286" t="str">
            <v>Comisiones de Servicios en el Exterior</v>
          </cell>
        </row>
        <row r="287">
          <cell r="A287">
            <v>201943826</v>
          </cell>
          <cell r="B287">
            <v>2102005</v>
          </cell>
          <cell r="C287" t="str">
            <v>Aguinaldos y Bonos</v>
          </cell>
        </row>
        <row r="288">
          <cell r="A288">
            <v>201943827</v>
          </cell>
          <cell r="B288">
            <v>2102005001</v>
          </cell>
          <cell r="C288" t="str">
            <v>Aguinaldos</v>
          </cell>
        </row>
        <row r="289">
          <cell r="A289">
            <v>201943828</v>
          </cell>
          <cell r="B289">
            <v>2102005002</v>
          </cell>
          <cell r="C289" t="str">
            <v>Bono de Escolaridad</v>
          </cell>
        </row>
        <row r="290">
          <cell r="A290">
            <v>201943829</v>
          </cell>
          <cell r="B290">
            <v>2102005003</v>
          </cell>
          <cell r="C290" t="str">
            <v>Bonos Especiales</v>
          </cell>
        </row>
        <row r="291">
          <cell r="A291">
            <v>201943830</v>
          </cell>
          <cell r="B291">
            <v>2102005004</v>
          </cell>
          <cell r="C291" t="str">
            <v>Bonificacion Adicional al Bono de Escolaridad</v>
          </cell>
        </row>
        <row r="292">
          <cell r="A292">
            <v>201943831</v>
          </cell>
          <cell r="B292">
            <v>2103</v>
          </cell>
          <cell r="C292" t="str">
            <v>Otras Remuneraciones</v>
          </cell>
        </row>
        <row r="293">
          <cell r="A293">
            <v>201943832</v>
          </cell>
          <cell r="B293">
            <v>2103001</v>
          </cell>
          <cell r="C293" t="str">
            <v>Honorarios a Suma Alzada - Personas Naturales</v>
          </cell>
        </row>
        <row r="294">
          <cell r="A294">
            <v>201944570</v>
          </cell>
          <cell r="B294">
            <v>2103001001</v>
          </cell>
          <cell r="C294" t="str">
            <v>Honorarios a Suma Alzada-Honorarios</v>
          </cell>
        </row>
        <row r="295">
          <cell r="A295">
            <v>201944569</v>
          </cell>
          <cell r="B295">
            <v>2103001002</v>
          </cell>
          <cell r="C295" t="str">
            <v>Honorarios a Suma Alzada-Viaticos</v>
          </cell>
        </row>
        <row r="296">
          <cell r="A296">
            <v>201944561</v>
          </cell>
          <cell r="B296">
            <v>2103001111</v>
          </cell>
          <cell r="C296" t="str">
            <v>Honorarios AGES</v>
          </cell>
        </row>
        <row r="297">
          <cell r="A297">
            <v>201943833</v>
          </cell>
          <cell r="B297">
            <v>2103002</v>
          </cell>
          <cell r="C297" t="str">
            <v>Honorarios Asimilados a Grados</v>
          </cell>
        </row>
        <row r="298">
          <cell r="A298">
            <v>201943834</v>
          </cell>
          <cell r="B298">
            <v>2103003</v>
          </cell>
          <cell r="C298" t="str">
            <v>Jornales</v>
          </cell>
        </row>
        <row r="299">
          <cell r="A299">
            <v>201943835</v>
          </cell>
          <cell r="B299">
            <v>2103004</v>
          </cell>
          <cell r="C299" t="str">
            <v>Remuneraciones Reguladas por el Codigo del Trabajo</v>
          </cell>
        </row>
        <row r="300">
          <cell r="A300">
            <v>201943836</v>
          </cell>
          <cell r="B300">
            <v>2103005</v>
          </cell>
          <cell r="C300" t="str">
            <v>Suplencias y Reemplazos</v>
          </cell>
        </row>
        <row r="301">
          <cell r="A301">
            <v>201943837</v>
          </cell>
          <cell r="B301">
            <v>2103006</v>
          </cell>
          <cell r="C301" t="str">
            <v>Personal a Trato y/o Temporal</v>
          </cell>
        </row>
        <row r="302">
          <cell r="A302">
            <v>201943838</v>
          </cell>
          <cell r="B302">
            <v>2103007</v>
          </cell>
          <cell r="C302" t="str">
            <v>Alumnos en Practica</v>
          </cell>
        </row>
        <row r="303">
          <cell r="A303">
            <v>201943839</v>
          </cell>
          <cell r="B303">
            <v>2103999</v>
          </cell>
          <cell r="C303" t="str">
            <v>Otras</v>
          </cell>
        </row>
        <row r="304">
          <cell r="A304">
            <v>201943840</v>
          </cell>
          <cell r="B304">
            <v>2104</v>
          </cell>
          <cell r="C304" t="str">
            <v>Otros Gastos en Personal</v>
          </cell>
        </row>
        <row r="305">
          <cell r="A305">
            <v>201943841</v>
          </cell>
          <cell r="B305">
            <v>2104001</v>
          </cell>
          <cell r="C305" t="str">
            <v>Asignacion de Traslado</v>
          </cell>
        </row>
        <row r="306">
          <cell r="A306">
            <v>201943842</v>
          </cell>
          <cell r="B306">
            <v>2104002</v>
          </cell>
          <cell r="C306" t="str">
            <v>Dieta Parlamentaria</v>
          </cell>
        </row>
        <row r="307">
          <cell r="A307">
            <v>201943843</v>
          </cell>
          <cell r="B307">
            <v>2104003</v>
          </cell>
          <cell r="C307" t="str">
            <v>Dietas a Juntas, Consejos y Comisiones</v>
          </cell>
        </row>
        <row r="308">
          <cell r="A308">
            <v>201943844</v>
          </cell>
          <cell r="B308">
            <v>22</v>
          </cell>
          <cell r="C308" t="str">
            <v>BIENES Y SERVICIOS DE CONSUMO</v>
          </cell>
        </row>
        <row r="309">
          <cell r="A309">
            <v>201943845</v>
          </cell>
          <cell r="B309">
            <v>2201</v>
          </cell>
          <cell r="C309" t="str">
            <v>Alimentos y Bebidas</v>
          </cell>
        </row>
        <row r="310">
          <cell r="A310">
            <v>201943846</v>
          </cell>
          <cell r="B310">
            <v>2201001</v>
          </cell>
          <cell r="C310" t="str">
            <v>Para Personas</v>
          </cell>
        </row>
        <row r="311">
          <cell r="A311">
            <v>201943847</v>
          </cell>
          <cell r="B311">
            <v>2201002</v>
          </cell>
          <cell r="C311" t="str">
            <v>Para Animales</v>
          </cell>
        </row>
        <row r="312">
          <cell r="A312">
            <v>201943848</v>
          </cell>
          <cell r="B312">
            <v>2202</v>
          </cell>
          <cell r="C312" t="str">
            <v>Textiles, Vestuario y Calzado</v>
          </cell>
        </row>
        <row r="313">
          <cell r="A313">
            <v>201943849</v>
          </cell>
          <cell r="B313">
            <v>2202001</v>
          </cell>
          <cell r="C313" t="str">
            <v>Textiles y Acabados Textiles</v>
          </cell>
        </row>
        <row r="314">
          <cell r="A314">
            <v>201943850</v>
          </cell>
          <cell r="B314">
            <v>2202002</v>
          </cell>
          <cell r="C314" t="str">
            <v>Vestuario, Accesorios y Prendas Diversas</v>
          </cell>
        </row>
        <row r="315">
          <cell r="A315">
            <v>201943851</v>
          </cell>
          <cell r="B315">
            <v>2202003</v>
          </cell>
          <cell r="C315" t="str">
            <v>Calzado</v>
          </cell>
        </row>
        <row r="316">
          <cell r="A316">
            <v>201943852</v>
          </cell>
          <cell r="B316">
            <v>2203</v>
          </cell>
          <cell r="C316" t="str">
            <v>Combustibles y Lubricantes</v>
          </cell>
        </row>
        <row r="317">
          <cell r="A317">
            <v>201943853</v>
          </cell>
          <cell r="B317">
            <v>2203001</v>
          </cell>
          <cell r="C317" t="str">
            <v>Para Vehiculos</v>
          </cell>
        </row>
        <row r="318">
          <cell r="A318">
            <v>201943854</v>
          </cell>
          <cell r="B318">
            <v>2203002</v>
          </cell>
          <cell r="C318" t="str">
            <v>Para Maquinarias, Equipos de Produccion, Traccion y Elevacion</v>
          </cell>
        </row>
        <row r="319">
          <cell r="A319">
            <v>201943855</v>
          </cell>
          <cell r="B319">
            <v>2203003</v>
          </cell>
          <cell r="C319" t="str">
            <v>Para Calefaccion</v>
          </cell>
        </row>
        <row r="320">
          <cell r="A320">
            <v>201943856</v>
          </cell>
          <cell r="B320">
            <v>2203999</v>
          </cell>
          <cell r="C320" t="str">
            <v>Para Otros</v>
          </cell>
        </row>
        <row r="321">
          <cell r="A321">
            <v>201943952</v>
          </cell>
          <cell r="B321">
            <v>2204</v>
          </cell>
          <cell r="C321" t="str">
            <v>Materiales de Uso o Consumo</v>
          </cell>
        </row>
        <row r="322">
          <cell r="A322">
            <v>201943953</v>
          </cell>
          <cell r="B322">
            <v>2204001</v>
          </cell>
          <cell r="C322" t="str">
            <v>Materiales de Oficina</v>
          </cell>
        </row>
        <row r="323">
          <cell r="A323">
            <v>201943954</v>
          </cell>
          <cell r="B323">
            <v>2204002</v>
          </cell>
          <cell r="C323" t="str">
            <v>Textos y Otros Materiales de Ensenanza</v>
          </cell>
        </row>
        <row r="324">
          <cell r="A324">
            <v>201943955</v>
          </cell>
          <cell r="B324">
            <v>2204003</v>
          </cell>
          <cell r="C324" t="str">
            <v>Productos Quimicos</v>
          </cell>
        </row>
        <row r="325">
          <cell r="A325">
            <v>201943956</v>
          </cell>
          <cell r="B325">
            <v>2204004</v>
          </cell>
          <cell r="C325" t="str">
            <v>Productos Farmaceuticos</v>
          </cell>
        </row>
        <row r="326">
          <cell r="A326">
            <v>201943957</v>
          </cell>
          <cell r="B326">
            <v>2204005</v>
          </cell>
          <cell r="C326" t="str">
            <v>Materiales y tiles Quirurgicos</v>
          </cell>
        </row>
        <row r="327">
          <cell r="A327">
            <v>201943958</v>
          </cell>
          <cell r="B327">
            <v>2204006</v>
          </cell>
          <cell r="C327" t="str">
            <v>Fertilizantes, Insecticidas, Fungicidas y Otros</v>
          </cell>
        </row>
        <row r="328">
          <cell r="A328">
            <v>201943959</v>
          </cell>
          <cell r="B328">
            <v>2204007</v>
          </cell>
          <cell r="C328" t="str">
            <v>Materiales y tiles de Aseo</v>
          </cell>
        </row>
        <row r="329">
          <cell r="A329">
            <v>201943960</v>
          </cell>
          <cell r="B329">
            <v>2204008</v>
          </cell>
          <cell r="C329" t="str">
            <v>Menaje para Oficina, Casino y Otros</v>
          </cell>
        </row>
        <row r="330">
          <cell r="A330">
            <v>201943961</v>
          </cell>
          <cell r="B330">
            <v>2204009</v>
          </cell>
          <cell r="C330" t="str">
            <v>Insumos, Repuestos y Accesorios Computacionales</v>
          </cell>
        </row>
        <row r="331">
          <cell r="A331">
            <v>201943962</v>
          </cell>
          <cell r="B331">
            <v>2204010</v>
          </cell>
          <cell r="C331" t="str">
            <v>Materiales para Mantenimiento y Reparaciones de Inmuebles</v>
          </cell>
        </row>
        <row r="332">
          <cell r="A332">
            <v>201943963</v>
          </cell>
          <cell r="B332">
            <v>2204011</v>
          </cell>
          <cell r="C332" t="str">
            <v>Repuestos y Accesorios para Mantenimiento y Reparaciones de Vehiculos</v>
          </cell>
        </row>
        <row r="333">
          <cell r="A333">
            <v>201943964</v>
          </cell>
          <cell r="B333">
            <v>2204012</v>
          </cell>
          <cell r="C333" t="str">
            <v>Otros Materiales, Repuestos y tiles Diversos para Mantenimiento y Reparaciones</v>
          </cell>
        </row>
        <row r="334">
          <cell r="A334">
            <v>201943965</v>
          </cell>
          <cell r="B334">
            <v>2204013</v>
          </cell>
          <cell r="C334" t="str">
            <v>Equipos Menores</v>
          </cell>
        </row>
        <row r="335">
          <cell r="A335">
            <v>201943966</v>
          </cell>
          <cell r="B335">
            <v>2204014</v>
          </cell>
          <cell r="C335" t="str">
            <v>Productos Elaborados de Cuero, Caucho y Plasticos</v>
          </cell>
        </row>
        <row r="336">
          <cell r="A336">
            <v>201943967</v>
          </cell>
          <cell r="B336">
            <v>2204015</v>
          </cell>
          <cell r="C336" t="str">
            <v>Productos Agropecuarios y Forestales</v>
          </cell>
        </row>
        <row r="337">
          <cell r="A337">
            <v>201943968</v>
          </cell>
          <cell r="B337">
            <v>2204016</v>
          </cell>
          <cell r="C337" t="str">
            <v>Materias Primas y Semielaboradas</v>
          </cell>
        </row>
        <row r="338">
          <cell r="A338">
            <v>201943969</v>
          </cell>
          <cell r="B338">
            <v>2204999</v>
          </cell>
          <cell r="C338" t="str">
            <v>Otros</v>
          </cell>
        </row>
        <row r="339">
          <cell r="A339">
            <v>201943970</v>
          </cell>
          <cell r="B339">
            <v>2205</v>
          </cell>
          <cell r="C339" t="str">
            <v>Servicios Basicos</v>
          </cell>
        </row>
        <row r="340">
          <cell r="A340">
            <v>201943971</v>
          </cell>
          <cell r="B340">
            <v>2205001</v>
          </cell>
          <cell r="C340" t="str">
            <v>Electricidad</v>
          </cell>
        </row>
        <row r="341">
          <cell r="A341">
            <v>201943972</v>
          </cell>
          <cell r="B341">
            <v>2205002</v>
          </cell>
          <cell r="C341" t="str">
            <v>Agua</v>
          </cell>
        </row>
        <row r="342">
          <cell r="A342">
            <v>201943973</v>
          </cell>
          <cell r="B342">
            <v>2205003</v>
          </cell>
          <cell r="C342" t="str">
            <v>Gas</v>
          </cell>
        </row>
        <row r="343">
          <cell r="A343">
            <v>201943974</v>
          </cell>
          <cell r="B343">
            <v>2205004</v>
          </cell>
          <cell r="C343" t="str">
            <v>Correo</v>
          </cell>
        </row>
        <row r="344">
          <cell r="A344">
            <v>201943975</v>
          </cell>
          <cell r="B344">
            <v>2205005</v>
          </cell>
          <cell r="C344" t="str">
            <v>Telefonia Fija</v>
          </cell>
        </row>
        <row r="345">
          <cell r="A345">
            <v>201943976</v>
          </cell>
          <cell r="B345">
            <v>2205006</v>
          </cell>
          <cell r="C345" t="str">
            <v>Telefonia Celular</v>
          </cell>
        </row>
        <row r="346">
          <cell r="A346">
            <v>201943977</v>
          </cell>
          <cell r="B346">
            <v>2205007</v>
          </cell>
          <cell r="C346" t="str">
            <v>Acceso a Internet</v>
          </cell>
        </row>
        <row r="347">
          <cell r="A347">
            <v>201943978</v>
          </cell>
          <cell r="B347">
            <v>2205008</v>
          </cell>
          <cell r="C347" t="str">
            <v>Enlaces de Telecomunicaciones</v>
          </cell>
        </row>
        <row r="348">
          <cell r="A348">
            <v>201943979</v>
          </cell>
          <cell r="B348">
            <v>2205999</v>
          </cell>
          <cell r="C348" t="str">
            <v>Otros</v>
          </cell>
        </row>
        <row r="349">
          <cell r="A349">
            <v>201943980</v>
          </cell>
          <cell r="B349">
            <v>2206</v>
          </cell>
          <cell r="C349" t="str">
            <v>Mantenimiento y Reparaciones</v>
          </cell>
        </row>
        <row r="350">
          <cell r="A350">
            <v>201943981</v>
          </cell>
          <cell r="B350">
            <v>2206001</v>
          </cell>
          <cell r="C350" t="str">
            <v>Mantenimiento y Reparacion de Edificaciones</v>
          </cell>
        </row>
        <row r="351">
          <cell r="A351">
            <v>201943982</v>
          </cell>
          <cell r="B351">
            <v>2206002</v>
          </cell>
          <cell r="C351" t="str">
            <v>Mantenimiento y Reparacion de Vehiculos</v>
          </cell>
        </row>
        <row r="352">
          <cell r="A352">
            <v>201943983</v>
          </cell>
          <cell r="B352">
            <v>2206003</v>
          </cell>
          <cell r="C352" t="str">
            <v>Mantenimiento y Reparacion de Mobiliarios y Otros</v>
          </cell>
        </row>
        <row r="353">
          <cell r="A353">
            <v>201943984</v>
          </cell>
          <cell r="B353">
            <v>2206004</v>
          </cell>
          <cell r="C353" t="str">
            <v>Mantenimiento y Reparacion de Maquinas y Equipos de Oficina</v>
          </cell>
        </row>
        <row r="354">
          <cell r="A354">
            <v>201943985</v>
          </cell>
          <cell r="B354">
            <v>2206005</v>
          </cell>
          <cell r="C354" t="str">
            <v>Mantenimiento y Reparaciones de Maquinarias y Equipos de Produccion</v>
          </cell>
        </row>
        <row r="355">
          <cell r="A355">
            <v>201943986</v>
          </cell>
          <cell r="B355">
            <v>2206006</v>
          </cell>
          <cell r="C355" t="str">
            <v>Mantenimiento y Reparacion de Otras Maquinarias y Equipos</v>
          </cell>
        </row>
        <row r="356">
          <cell r="A356">
            <v>201943987</v>
          </cell>
          <cell r="B356">
            <v>2206007</v>
          </cell>
          <cell r="C356" t="str">
            <v>Mantenimiento y Reparacion de Equipos Informaticos</v>
          </cell>
        </row>
        <row r="357">
          <cell r="A357">
            <v>201943988</v>
          </cell>
          <cell r="B357">
            <v>2206999</v>
          </cell>
          <cell r="C357" t="str">
            <v>Otros</v>
          </cell>
        </row>
        <row r="358">
          <cell r="A358">
            <v>201943989</v>
          </cell>
          <cell r="B358">
            <v>2207</v>
          </cell>
          <cell r="C358" t="str">
            <v>Publicidad y Difusion</v>
          </cell>
        </row>
        <row r="359">
          <cell r="A359">
            <v>201943990</v>
          </cell>
          <cell r="B359">
            <v>2207001</v>
          </cell>
          <cell r="C359" t="str">
            <v>Servicios de Publicidad</v>
          </cell>
        </row>
        <row r="360">
          <cell r="A360">
            <v>201943991</v>
          </cell>
          <cell r="B360">
            <v>2207002</v>
          </cell>
          <cell r="C360" t="str">
            <v>Servicios de Impresion</v>
          </cell>
        </row>
        <row r="361">
          <cell r="A361">
            <v>201943992</v>
          </cell>
          <cell r="B361">
            <v>2207003</v>
          </cell>
          <cell r="C361" t="str">
            <v>Servicios de Encuadernacion y Empaste</v>
          </cell>
        </row>
        <row r="362">
          <cell r="A362">
            <v>201943993</v>
          </cell>
          <cell r="B362">
            <v>2207999</v>
          </cell>
          <cell r="C362" t="str">
            <v>Otros</v>
          </cell>
        </row>
        <row r="363">
          <cell r="A363">
            <v>201943994</v>
          </cell>
          <cell r="B363">
            <v>2208</v>
          </cell>
          <cell r="C363" t="str">
            <v>Servicios Generales</v>
          </cell>
        </row>
        <row r="364">
          <cell r="A364">
            <v>201943995</v>
          </cell>
          <cell r="B364">
            <v>2208001</v>
          </cell>
          <cell r="C364" t="str">
            <v>Servicios de Aseo</v>
          </cell>
        </row>
        <row r="365">
          <cell r="A365">
            <v>201943996</v>
          </cell>
          <cell r="B365">
            <v>2208002</v>
          </cell>
          <cell r="C365" t="str">
            <v>Servicios de Vigilancia</v>
          </cell>
        </row>
        <row r="366">
          <cell r="A366">
            <v>201943997</v>
          </cell>
          <cell r="B366">
            <v>2208003</v>
          </cell>
          <cell r="C366" t="str">
            <v>Servicios de Mantencion de Jardines</v>
          </cell>
        </row>
        <row r="367">
          <cell r="A367">
            <v>201943998</v>
          </cell>
          <cell r="B367">
            <v>2208007</v>
          </cell>
          <cell r="C367" t="str">
            <v>Pasajes, Fletes y Bodegajes</v>
          </cell>
        </row>
        <row r="368">
          <cell r="A368">
            <v>201943999</v>
          </cell>
          <cell r="B368">
            <v>2208008</v>
          </cell>
          <cell r="C368" t="str">
            <v>Salas Cunas y/o Jardines Infantiles</v>
          </cell>
        </row>
        <row r="369">
          <cell r="A369">
            <v>201944000</v>
          </cell>
          <cell r="B369">
            <v>2208009</v>
          </cell>
          <cell r="C369" t="str">
            <v>Servicios de Pago y Cobranza</v>
          </cell>
        </row>
        <row r="370">
          <cell r="A370">
            <v>201944001</v>
          </cell>
          <cell r="B370">
            <v>2208010</v>
          </cell>
          <cell r="C370" t="str">
            <v>Servicios de Suscripcion y Similares</v>
          </cell>
        </row>
        <row r="371">
          <cell r="A371">
            <v>201944002</v>
          </cell>
          <cell r="B371">
            <v>2208011</v>
          </cell>
          <cell r="C371" t="str">
            <v>Servicios de Produccion y Desarrollo de Eventos</v>
          </cell>
        </row>
        <row r="372">
          <cell r="A372">
            <v>201944003</v>
          </cell>
          <cell r="B372">
            <v>2208999</v>
          </cell>
          <cell r="C372" t="str">
            <v>Otros</v>
          </cell>
        </row>
        <row r="373">
          <cell r="A373">
            <v>201944004</v>
          </cell>
          <cell r="B373">
            <v>2209</v>
          </cell>
          <cell r="C373" t="str">
            <v>Arriendos</v>
          </cell>
        </row>
        <row r="374">
          <cell r="A374">
            <v>201944005</v>
          </cell>
          <cell r="B374">
            <v>2209001</v>
          </cell>
          <cell r="C374" t="str">
            <v>Arriendo de Terrenos</v>
          </cell>
        </row>
        <row r="375">
          <cell r="A375">
            <v>201944006</v>
          </cell>
          <cell r="B375">
            <v>2209002</v>
          </cell>
          <cell r="C375" t="str">
            <v>Arriendo de Edificios</v>
          </cell>
        </row>
        <row r="376">
          <cell r="A376">
            <v>201944007</v>
          </cell>
          <cell r="B376">
            <v>2209003</v>
          </cell>
          <cell r="C376" t="str">
            <v>Arriendo de Vehiculos</v>
          </cell>
        </row>
        <row r="377">
          <cell r="A377">
            <v>201944008</v>
          </cell>
          <cell r="B377">
            <v>2209004</v>
          </cell>
          <cell r="C377" t="str">
            <v>Arriendo de Mobiliario y Otros</v>
          </cell>
        </row>
        <row r="378">
          <cell r="A378">
            <v>201944009</v>
          </cell>
          <cell r="B378">
            <v>2209005</v>
          </cell>
          <cell r="C378" t="str">
            <v>Arriendo de Maquinas y Equipos</v>
          </cell>
        </row>
        <row r="379">
          <cell r="A379">
            <v>201944010</v>
          </cell>
          <cell r="B379">
            <v>2209006</v>
          </cell>
          <cell r="C379" t="str">
            <v>Arriendo de Equipos Informaticos</v>
          </cell>
        </row>
        <row r="380">
          <cell r="A380">
            <v>201944011</v>
          </cell>
          <cell r="B380">
            <v>2209999</v>
          </cell>
          <cell r="C380" t="str">
            <v>Otros</v>
          </cell>
        </row>
        <row r="381">
          <cell r="A381">
            <v>201944012</v>
          </cell>
          <cell r="B381">
            <v>2210</v>
          </cell>
          <cell r="C381" t="str">
            <v>Servicios Financieros y de Seguros</v>
          </cell>
        </row>
        <row r="382">
          <cell r="A382">
            <v>201944013</v>
          </cell>
          <cell r="B382">
            <v>2210001</v>
          </cell>
          <cell r="C382" t="str">
            <v>Gastos Financieros por Compra y Venta de Titulos y Valores</v>
          </cell>
        </row>
        <row r="383">
          <cell r="A383">
            <v>201944014</v>
          </cell>
          <cell r="B383">
            <v>2210002</v>
          </cell>
          <cell r="C383" t="str">
            <v>Primas y Gastos de Seguros</v>
          </cell>
        </row>
        <row r="384">
          <cell r="A384">
            <v>201944015</v>
          </cell>
          <cell r="B384">
            <v>2210003</v>
          </cell>
          <cell r="C384" t="str">
            <v>Servicios de Giros y Remesas</v>
          </cell>
        </row>
        <row r="385">
          <cell r="A385">
            <v>201944016</v>
          </cell>
          <cell r="B385">
            <v>2210004</v>
          </cell>
          <cell r="C385" t="str">
            <v>Gastos Bancarios</v>
          </cell>
        </row>
        <row r="386">
          <cell r="A386">
            <v>201944017</v>
          </cell>
          <cell r="B386">
            <v>2210999</v>
          </cell>
          <cell r="C386" t="str">
            <v>Otros</v>
          </cell>
        </row>
        <row r="387">
          <cell r="A387">
            <v>201944018</v>
          </cell>
          <cell r="B387">
            <v>2211</v>
          </cell>
          <cell r="C387" t="str">
            <v>Servicios Tecnicos y Profesionales</v>
          </cell>
        </row>
        <row r="388">
          <cell r="A388">
            <v>201944019</v>
          </cell>
          <cell r="B388">
            <v>2211001</v>
          </cell>
          <cell r="C388" t="str">
            <v>Estudios e Investigaciones</v>
          </cell>
        </row>
        <row r="389">
          <cell r="A389">
            <v>201944020</v>
          </cell>
          <cell r="B389">
            <v>2211002</v>
          </cell>
          <cell r="C389" t="str">
            <v>Cursos de Capacitacion</v>
          </cell>
        </row>
        <row r="390">
          <cell r="A390">
            <v>201944021</v>
          </cell>
          <cell r="B390">
            <v>2211003</v>
          </cell>
          <cell r="C390" t="str">
            <v>Servicios Informaticos</v>
          </cell>
        </row>
        <row r="391">
          <cell r="A391">
            <v>201944022</v>
          </cell>
          <cell r="B391">
            <v>2211999</v>
          </cell>
          <cell r="C391" t="str">
            <v>Otros</v>
          </cell>
        </row>
        <row r="392">
          <cell r="A392">
            <v>201944023</v>
          </cell>
          <cell r="B392">
            <v>2212</v>
          </cell>
          <cell r="C392" t="str">
            <v>Otros Gastos en Bienes y Servicios de Consumo</v>
          </cell>
        </row>
        <row r="393">
          <cell r="A393">
            <v>201944024</v>
          </cell>
          <cell r="B393">
            <v>2212001</v>
          </cell>
          <cell r="C393" t="str">
            <v>Gastos Reservados</v>
          </cell>
        </row>
        <row r="394">
          <cell r="A394">
            <v>201944025</v>
          </cell>
          <cell r="B394">
            <v>2212002</v>
          </cell>
          <cell r="C394" t="str">
            <v>Gastos Menores</v>
          </cell>
        </row>
        <row r="395">
          <cell r="A395">
            <v>201944026</v>
          </cell>
          <cell r="B395">
            <v>2212003</v>
          </cell>
          <cell r="C395" t="str">
            <v>Gastos de Representacion, Protocolo y Ceremonial</v>
          </cell>
        </row>
        <row r="396">
          <cell r="A396">
            <v>201944027</v>
          </cell>
          <cell r="B396">
            <v>2212004</v>
          </cell>
          <cell r="C396" t="str">
            <v>Intereses, Multas y Recargos</v>
          </cell>
        </row>
        <row r="397">
          <cell r="A397">
            <v>201944028</v>
          </cell>
          <cell r="B397">
            <v>2212005</v>
          </cell>
          <cell r="C397" t="str">
            <v>Derechos y Tasas</v>
          </cell>
        </row>
        <row r="398">
          <cell r="A398">
            <v>201944029</v>
          </cell>
          <cell r="B398">
            <v>2212006</v>
          </cell>
          <cell r="C398" t="str">
            <v>Contribuciones</v>
          </cell>
        </row>
        <row r="399">
          <cell r="A399">
            <v>201944030</v>
          </cell>
          <cell r="B399">
            <v>2212999</v>
          </cell>
          <cell r="C399" t="str">
            <v>Otros</v>
          </cell>
        </row>
        <row r="400">
          <cell r="A400">
            <v>201944031</v>
          </cell>
          <cell r="B400">
            <v>2215</v>
          </cell>
          <cell r="C400" t="str">
            <v>Material Policial y Militar</v>
          </cell>
        </row>
        <row r="401">
          <cell r="A401">
            <v>201944032</v>
          </cell>
          <cell r="B401">
            <v>23</v>
          </cell>
          <cell r="C401" t="str">
            <v>PRESTACIONES DE SEGURIDAD SOCIAL</v>
          </cell>
        </row>
        <row r="402">
          <cell r="A402">
            <v>201944033</v>
          </cell>
          <cell r="B402">
            <v>2301</v>
          </cell>
          <cell r="C402" t="str">
            <v>Prestaciones Previsionales</v>
          </cell>
        </row>
        <row r="403">
          <cell r="A403">
            <v>201944034</v>
          </cell>
          <cell r="B403">
            <v>2301001</v>
          </cell>
          <cell r="C403" t="str">
            <v>Jubilaciones, Pensiones y Montepios</v>
          </cell>
        </row>
        <row r="404">
          <cell r="A404">
            <v>201944035</v>
          </cell>
          <cell r="B404">
            <v>2301002</v>
          </cell>
          <cell r="C404" t="str">
            <v>Bonificaciones</v>
          </cell>
        </row>
        <row r="405">
          <cell r="A405">
            <v>201944036</v>
          </cell>
          <cell r="B405">
            <v>2301003</v>
          </cell>
          <cell r="C405" t="str">
            <v>Bono de Reconocimiento</v>
          </cell>
        </row>
        <row r="406">
          <cell r="A406">
            <v>201944037</v>
          </cell>
          <cell r="B406">
            <v>2301004</v>
          </cell>
          <cell r="C406" t="str">
            <v>Desahucios e Indemnizaciones</v>
          </cell>
        </row>
        <row r="407">
          <cell r="A407">
            <v>201944038</v>
          </cell>
          <cell r="B407">
            <v>2301005</v>
          </cell>
          <cell r="C407" t="str">
            <v>Fondo de Seguro Social de los Empleados Publicos</v>
          </cell>
        </row>
        <row r="408">
          <cell r="A408">
            <v>201944039</v>
          </cell>
          <cell r="B408">
            <v>2301006</v>
          </cell>
          <cell r="C408" t="str">
            <v>Asignacion por Muerte</v>
          </cell>
        </row>
        <row r="409">
          <cell r="A409">
            <v>201944040</v>
          </cell>
          <cell r="B409">
            <v>2301007</v>
          </cell>
          <cell r="C409" t="str">
            <v>Seguro de Vida</v>
          </cell>
        </row>
        <row r="410">
          <cell r="A410">
            <v>201944041</v>
          </cell>
          <cell r="B410">
            <v>2301008</v>
          </cell>
          <cell r="C410" t="str">
            <v>Devolucion de Imposiciones</v>
          </cell>
        </row>
        <row r="411">
          <cell r="A411">
            <v>201944042</v>
          </cell>
          <cell r="B411">
            <v>2301009</v>
          </cell>
          <cell r="C411" t="str">
            <v>Bonificaciones de Salud</v>
          </cell>
        </row>
        <row r="412">
          <cell r="A412">
            <v>201944043</v>
          </cell>
          <cell r="B412">
            <v>2301010</v>
          </cell>
          <cell r="C412" t="str">
            <v>Subsidios de Reposo Preventivo</v>
          </cell>
        </row>
        <row r="413">
          <cell r="A413">
            <v>201944044</v>
          </cell>
          <cell r="B413">
            <v>2301011</v>
          </cell>
          <cell r="C413" t="str">
            <v>Subsidio de Enfermedad y Medicina Curativa</v>
          </cell>
        </row>
        <row r="414">
          <cell r="A414">
            <v>201944045</v>
          </cell>
          <cell r="B414">
            <v>2301012</v>
          </cell>
          <cell r="C414" t="str">
            <v>Subsidios por Accidentes del Trabajo</v>
          </cell>
        </row>
        <row r="415">
          <cell r="A415">
            <v>201944046</v>
          </cell>
          <cell r="B415">
            <v>2301013</v>
          </cell>
          <cell r="C415" t="str">
            <v>Subsidios de Reposo Maternal, Articulo 196 Codigo del Trabajo</v>
          </cell>
        </row>
        <row r="416">
          <cell r="A416">
            <v>201944047</v>
          </cell>
          <cell r="B416">
            <v>2301014</v>
          </cell>
          <cell r="C416" t="str">
            <v>Subsidio Cajas de Compensacion de Asignacion Familiar</v>
          </cell>
        </row>
        <row r="417">
          <cell r="A417">
            <v>201944048</v>
          </cell>
          <cell r="B417">
            <v>2301015</v>
          </cell>
          <cell r="C417" t="str">
            <v>Aporte Fondo de Cesantia Solidario Ley N 19.728</v>
          </cell>
        </row>
        <row r="418">
          <cell r="A418">
            <v>201944150</v>
          </cell>
          <cell r="B418">
            <v>2301016</v>
          </cell>
          <cell r="C418" t="str">
            <v>Bonificacion por Hijo para las Mujeres</v>
          </cell>
        </row>
        <row r="419">
          <cell r="A419">
            <v>201944151</v>
          </cell>
          <cell r="B419">
            <v>2301017</v>
          </cell>
          <cell r="C419" t="str">
            <v>Fondo Bono Laboral Ley N 20.305</v>
          </cell>
        </row>
        <row r="420">
          <cell r="A420">
            <v>201944152</v>
          </cell>
          <cell r="B420">
            <v>2302</v>
          </cell>
          <cell r="C420" t="str">
            <v>Prestaciones de Asistencia Social</v>
          </cell>
        </row>
        <row r="421">
          <cell r="A421">
            <v>201944153</v>
          </cell>
          <cell r="B421">
            <v>2302001</v>
          </cell>
          <cell r="C421" t="str">
            <v>Asignacion Familiar</v>
          </cell>
        </row>
        <row r="422">
          <cell r="A422">
            <v>201944154</v>
          </cell>
          <cell r="B422">
            <v>2302002</v>
          </cell>
          <cell r="C422" t="str">
            <v>Pensiones Asistenciales</v>
          </cell>
        </row>
        <row r="423">
          <cell r="A423">
            <v>201944155</v>
          </cell>
          <cell r="B423">
            <v>2302003</v>
          </cell>
          <cell r="C423" t="str">
            <v>Garantia Estatal Pensiones Minimas</v>
          </cell>
        </row>
        <row r="424">
          <cell r="A424">
            <v>201944156</v>
          </cell>
          <cell r="B424">
            <v>2302004</v>
          </cell>
          <cell r="C424" t="str">
            <v>Ayudas Economicas y Otros Pagos Preventivos</v>
          </cell>
        </row>
        <row r="425">
          <cell r="A425">
            <v>201944157</v>
          </cell>
          <cell r="B425">
            <v>2302005</v>
          </cell>
          <cell r="C425" t="str">
            <v>Subsidios de Reposo Maternal y Cuidado del Nino</v>
          </cell>
        </row>
        <row r="426">
          <cell r="A426">
            <v>201944158</v>
          </cell>
          <cell r="B426">
            <v>2302006</v>
          </cell>
          <cell r="C426" t="str">
            <v>Subsidio de Cesantia</v>
          </cell>
        </row>
        <row r="427">
          <cell r="A427">
            <v>201944159</v>
          </cell>
          <cell r="B427">
            <v>2302007</v>
          </cell>
          <cell r="C427" t="str">
            <v>Pensiones Basicas Solidarias de Vejez</v>
          </cell>
        </row>
        <row r="428">
          <cell r="A428">
            <v>201944160</v>
          </cell>
          <cell r="B428">
            <v>2302008</v>
          </cell>
          <cell r="C428" t="str">
            <v>Pensiones Basicas Solidarias de Invalidez</v>
          </cell>
        </row>
        <row r="429">
          <cell r="A429">
            <v>201944161</v>
          </cell>
          <cell r="B429">
            <v>2302009</v>
          </cell>
          <cell r="C429" t="str">
            <v>Subsidio de Discapacidad Mental</v>
          </cell>
        </row>
        <row r="430">
          <cell r="A430">
            <v>201944162</v>
          </cell>
          <cell r="B430">
            <v>2302010</v>
          </cell>
          <cell r="C430" t="str">
            <v>Bono para Conyuges que cumplan Cincuenta Anos de Matrimonio</v>
          </cell>
        </row>
        <row r="431">
          <cell r="A431">
            <v>201944163</v>
          </cell>
          <cell r="B431">
            <v>2302011</v>
          </cell>
          <cell r="C431" t="str">
            <v>Bonificacion Ley N20.531</v>
          </cell>
        </row>
        <row r="432">
          <cell r="A432">
            <v>201944164</v>
          </cell>
          <cell r="B432">
            <v>2303</v>
          </cell>
          <cell r="C432" t="str">
            <v>Prestaciones Sociales del Empleador</v>
          </cell>
        </row>
        <row r="433">
          <cell r="A433">
            <v>201944165</v>
          </cell>
          <cell r="B433">
            <v>2303001</v>
          </cell>
          <cell r="C433" t="str">
            <v>Indemnizacion de Cargo Fiscal</v>
          </cell>
        </row>
        <row r="434">
          <cell r="A434">
            <v>201944166</v>
          </cell>
          <cell r="B434">
            <v>2303002</v>
          </cell>
          <cell r="C434" t="str">
            <v>Beneficios Medicos</v>
          </cell>
        </row>
        <row r="435">
          <cell r="A435">
            <v>201944167</v>
          </cell>
          <cell r="B435">
            <v>2303003</v>
          </cell>
          <cell r="C435" t="str">
            <v>Fondo Retiro Funcionarios Publicos Ley N 19.882</v>
          </cell>
        </row>
        <row r="436">
          <cell r="A436">
            <v>201944168</v>
          </cell>
          <cell r="B436">
            <v>2303004</v>
          </cell>
          <cell r="C436" t="str">
            <v>Otras Indemnizaciones</v>
          </cell>
        </row>
        <row r="437">
          <cell r="A437">
            <v>201944169</v>
          </cell>
          <cell r="B437">
            <v>24</v>
          </cell>
          <cell r="C437" t="str">
            <v>TRANSFERENCIAS CORRIENTES</v>
          </cell>
        </row>
        <row r="438">
          <cell r="A438">
            <v>201944170</v>
          </cell>
          <cell r="B438">
            <v>2401</v>
          </cell>
          <cell r="C438" t="str">
            <v>Al Sector Privado</v>
          </cell>
        </row>
        <row r="439">
          <cell r="A439">
            <v>201944171</v>
          </cell>
          <cell r="B439">
            <v>2402</v>
          </cell>
          <cell r="C439" t="str">
            <v>Al Gobierno Central</v>
          </cell>
        </row>
        <row r="440">
          <cell r="A440">
            <v>201944663</v>
          </cell>
          <cell r="B440">
            <v>2402005</v>
          </cell>
          <cell r="C440" t="str">
            <v>A la Direccion de Bibliotecas Archivos y Museos</v>
          </cell>
        </row>
        <row r="441">
          <cell r="A441">
            <v>201944172</v>
          </cell>
          <cell r="B441">
            <v>2403</v>
          </cell>
          <cell r="C441" t="str">
            <v>A Otras Entidades Publicas</v>
          </cell>
        </row>
        <row r="442">
          <cell r="A442">
            <v>201944560</v>
          </cell>
          <cell r="B442">
            <v>2403024</v>
          </cell>
          <cell r="C442" t="str">
            <v>Capacitacion en Desarrollo Regional y Comunal</v>
          </cell>
        </row>
        <row r="443">
          <cell r="A443">
            <v>201944664</v>
          </cell>
          <cell r="B443">
            <v>2403026</v>
          </cell>
          <cell r="C443" t="str">
            <v>Programa Academia Capacitacion Municipal y Regional</v>
          </cell>
        </row>
        <row r="444">
          <cell r="A444">
            <v>201944577</v>
          </cell>
          <cell r="B444">
            <v>2403029</v>
          </cell>
          <cell r="C444" t="str">
            <v>Municipalidades</v>
          </cell>
        </row>
        <row r="445">
          <cell r="A445">
            <v>201944573</v>
          </cell>
          <cell r="B445">
            <v>2403031</v>
          </cell>
          <cell r="C445" t="str">
            <v>Programa de Apoyo a la Acreditacion de Calidad de Servicios Municipales</v>
          </cell>
        </row>
        <row r="446">
          <cell r="A446">
            <v>201944559</v>
          </cell>
          <cell r="B446">
            <v>2403032</v>
          </cell>
          <cell r="C446" t="str">
            <v>Programa de Mejoramiento de la Gestion Municipal</v>
          </cell>
        </row>
        <row r="447">
          <cell r="A447">
            <v>201944665</v>
          </cell>
          <cell r="B447">
            <v>2403112</v>
          </cell>
          <cell r="C447" t="str">
            <v>Oficina Fondo Recuperacion de Ciudades</v>
          </cell>
        </row>
        <row r="448">
          <cell r="A448">
            <v>201944653</v>
          </cell>
          <cell r="B448">
            <v>2403399</v>
          </cell>
          <cell r="C448" t="str">
            <v>Oficina Credito de Apoyo a la Gestion Subnacional</v>
          </cell>
        </row>
        <row r="449">
          <cell r="A449">
            <v>201944568</v>
          </cell>
          <cell r="B449">
            <v>2403403</v>
          </cell>
          <cell r="C449" t="str">
            <v>Municipalidades (Compensacion por Predios Exentos)</v>
          </cell>
        </row>
        <row r="450">
          <cell r="A450">
            <v>201944572</v>
          </cell>
          <cell r="B450">
            <v>2403405</v>
          </cell>
          <cell r="C450" t="str">
            <v>Oficina Credito Puesta en Valor del Patrimonio</v>
          </cell>
        </row>
        <row r="451">
          <cell r="A451">
            <v>201944173</v>
          </cell>
          <cell r="B451">
            <v>2404</v>
          </cell>
          <cell r="C451" t="str">
            <v>A Empresas Publicas no Financieras</v>
          </cell>
        </row>
        <row r="452">
          <cell r="A452">
            <v>201944174</v>
          </cell>
          <cell r="B452">
            <v>2405</v>
          </cell>
          <cell r="C452" t="str">
            <v>A Empresas Publicas Financieras</v>
          </cell>
        </row>
        <row r="453">
          <cell r="A453">
            <v>201944175</v>
          </cell>
          <cell r="B453">
            <v>2406</v>
          </cell>
          <cell r="C453" t="str">
            <v>A Gobiernos Extranjeros</v>
          </cell>
        </row>
        <row r="454">
          <cell r="A454">
            <v>201944176</v>
          </cell>
          <cell r="B454">
            <v>2407</v>
          </cell>
          <cell r="C454" t="str">
            <v>A Organismos Internacionales</v>
          </cell>
        </row>
        <row r="455">
          <cell r="A455">
            <v>201944177</v>
          </cell>
          <cell r="B455">
            <v>25</v>
          </cell>
          <cell r="C455" t="str">
            <v>INTEGROS AL FISCO</v>
          </cell>
        </row>
        <row r="456">
          <cell r="A456">
            <v>201944178</v>
          </cell>
          <cell r="B456">
            <v>2501</v>
          </cell>
          <cell r="C456" t="str">
            <v>Impuestos</v>
          </cell>
        </row>
        <row r="457">
          <cell r="A457">
            <v>201944179</v>
          </cell>
          <cell r="B457">
            <v>2502</v>
          </cell>
          <cell r="C457" t="str">
            <v>Anticipos y/o Utilidades</v>
          </cell>
        </row>
        <row r="458">
          <cell r="A458">
            <v>201944180</v>
          </cell>
          <cell r="B458">
            <v>2503</v>
          </cell>
          <cell r="C458" t="str">
            <v>Excedentes de Caja</v>
          </cell>
        </row>
        <row r="459">
          <cell r="A459">
            <v>201944181</v>
          </cell>
          <cell r="B459">
            <v>2599</v>
          </cell>
          <cell r="C459" t="str">
            <v>Otros ntegros al Fisco</v>
          </cell>
        </row>
        <row r="460">
          <cell r="A460">
            <v>201944182</v>
          </cell>
          <cell r="B460">
            <v>26</v>
          </cell>
          <cell r="C460" t="str">
            <v>OTROS GASTOS CORRIENTES</v>
          </cell>
        </row>
        <row r="461">
          <cell r="A461">
            <v>201944183</v>
          </cell>
          <cell r="B461">
            <v>2601</v>
          </cell>
          <cell r="C461" t="str">
            <v>Devoluciones</v>
          </cell>
        </row>
        <row r="462">
          <cell r="A462">
            <v>201944184</v>
          </cell>
          <cell r="B462">
            <v>2602</v>
          </cell>
          <cell r="C462" t="str">
            <v>Compensaciones por Danos a Terceros y/o a la Propiedad</v>
          </cell>
        </row>
        <row r="463">
          <cell r="A463">
            <v>201944185</v>
          </cell>
          <cell r="B463">
            <v>2603</v>
          </cell>
          <cell r="C463" t="str">
            <v>2% Constitucional</v>
          </cell>
        </row>
        <row r="464">
          <cell r="A464">
            <v>201944186</v>
          </cell>
          <cell r="B464">
            <v>2604</v>
          </cell>
          <cell r="C464" t="str">
            <v>Aplicacion Fondos de Terceros</v>
          </cell>
        </row>
        <row r="465">
          <cell r="A465">
            <v>201944187</v>
          </cell>
          <cell r="B465">
            <v>27</v>
          </cell>
          <cell r="C465" t="str">
            <v>APORTE FISCAL LIBRE</v>
          </cell>
        </row>
        <row r="466">
          <cell r="A466">
            <v>201944188</v>
          </cell>
          <cell r="B466">
            <v>28</v>
          </cell>
          <cell r="C466" t="str">
            <v>APORTE FISCAL PARA SERVICIO DE LA DEUDA</v>
          </cell>
        </row>
        <row r="467">
          <cell r="A467">
            <v>201944189</v>
          </cell>
          <cell r="B467">
            <v>29</v>
          </cell>
          <cell r="C467" t="str">
            <v>ADQUISICION DE ACTIVOS NO FINANCIEROS</v>
          </cell>
        </row>
        <row r="468">
          <cell r="A468">
            <v>201944190</v>
          </cell>
          <cell r="B468">
            <v>2901</v>
          </cell>
          <cell r="C468" t="str">
            <v>Terrenos</v>
          </cell>
        </row>
        <row r="469">
          <cell r="A469">
            <v>201944191</v>
          </cell>
          <cell r="B469">
            <v>2902</v>
          </cell>
          <cell r="C469" t="str">
            <v>Edificios</v>
          </cell>
        </row>
        <row r="470">
          <cell r="A470">
            <v>201944192</v>
          </cell>
          <cell r="B470">
            <v>2903</v>
          </cell>
          <cell r="C470" t="str">
            <v>Vehiculos</v>
          </cell>
        </row>
        <row r="471">
          <cell r="A471">
            <v>201944193</v>
          </cell>
          <cell r="B471">
            <v>2904</v>
          </cell>
          <cell r="C471" t="str">
            <v>Mobiliario y Otros</v>
          </cell>
        </row>
        <row r="472">
          <cell r="A472">
            <v>201944194</v>
          </cell>
          <cell r="B472">
            <v>2905</v>
          </cell>
          <cell r="C472" t="str">
            <v>Maquinas y Equipos</v>
          </cell>
        </row>
        <row r="473">
          <cell r="A473">
            <v>201944195</v>
          </cell>
          <cell r="B473">
            <v>2905001</v>
          </cell>
          <cell r="C473" t="str">
            <v>Maquinas y Equipos de Oficina</v>
          </cell>
        </row>
        <row r="474">
          <cell r="A474">
            <v>201944196</v>
          </cell>
          <cell r="B474">
            <v>2905002</v>
          </cell>
          <cell r="C474" t="str">
            <v>Maquinarias y Equipos para la Produccion</v>
          </cell>
        </row>
        <row r="475">
          <cell r="A475">
            <v>201944197</v>
          </cell>
          <cell r="B475">
            <v>2905999</v>
          </cell>
          <cell r="C475" t="str">
            <v>Otras</v>
          </cell>
        </row>
        <row r="476">
          <cell r="A476">
            <v>201944198</v>
          </cell>
          <cell r="B476">
            <v>2906</v>
          </cell>
          <cell r="C476" t="str">
            <v>Equipos Informaticos</v>
          </cell>
        </row>
        <row r="477">
          <cell r="A477">
            <v>201944199</v>
          </cell>
          <cell r="B477">
            <v>2906001</v>
          </cell>
          <cell r="C477" t="str">
            <v>Equipos Computacionales y Perifericos</v>
          </cell>
        </row>
        <row r="478">
          <cell r="A478">
            <v>201944441</v>
          </cell>
          <cell r="B478">
            <v>2906002</v>
          </cell>
          <cell r="C478" t="str">
            <v>Equipos de Comunicaciones para Redes Informaticas</v>
          </cell>
        </row>
        <row r="479">
          <cell r="A479">
            <v>201944442</v>
          </cell>
          <cell r="B479">
            <v>2907</v>
          </cell>
          <cell r="C479" t="str">
            <v>Programas Informaticos</v>
          </cell>
        </row>
        <row r="480">
          <cell r="A480">
            <v>201944443</v>
          </cell>
          <cell r="B480">
            <v>2907001</v>
          </cell>
          <cell r="C480" t="str">
            <v>Programas Computacionales</v>
          </cell>
        </row>
        <row r="481">
          <cell r="A481">
            <v>201944444</v>
          </cell>
          <cell r="B481">
            <v>2907002</v>
          </cell>
          <cell r="C481" t="str">
            <v>Sistemas de Informacion</v>
          </cell>
        </row>
        <row r="482">
          <cell r="A482">
            <v>201944445</v>
          </cell>
          <cell r="B482">
            <v>2999</v>
          </cell>
          <cell r="C482" t="str">
            <v>Otros Activos no Financieros</v>
          </cell>
        </row>
        <row r="483">
          <cell r="A483">
            <v>201944446</v>
          </cell>
          <cell r="B483">
            <v>30</v>
          </cell>
          <cell r="C483" t="str">
            <v>ADQUISICION DE ACTIVOS FINANCIEROS</v>
          </cell>
        </row>
        <row r="484">
          <cell r="A484">
            <v>201944447</v>
          </cell>
          <cell r="B484">
            <v>3001</v>
          </cell>
          <cell r="C484" t="str">
            <v>Compra de Titulos y Valores</v>
          </cell>
        </row>
        <row r="485">
          <cell r="A485">
            <v>201944448</v>
          </cell>
          <cell r="B485">
            <v>3001001</v>
          </cell>
          <cell r="C485" t="str">
            <v>Depositos a Plazo</v>
          </cell>
        </row>
        <row r="486">
          <cell r="A486">
            <v>201944449</v>
          </cell>
          <cell r="B486">
            <v>3001002</v>
          </cell>
          <cell r="C486" t="str">
            <v>Pactos de Retrocompra</v>
          </cell>
        </row>
        <row r="487">
          <cell r="A487">
            <v>201944450</v>
          </cell>
          <cell r="B487">
            <v>3001003</v>
          </cell>
          <cell r="C487" t="str">
            <v>Cuotas de Fondos Mutuos</v>
          </cell>
        </row>
        <row r="488">
          <cell r="A488">
            <v>201944451</v>
          </cell>
          <cell r="B488">
            <v>3001004</v>
          </cell>
          <cell r="C488" t="str">
            <v>Bonos o Pagares</v>
          </cell>
        </row>
        <row r="489">
          <cell r="A489">
            <v>201944452</v>
          </cell>
          <cell r="B489">
            <v>3001005</v>
          </cell>
          <cell r="C489" t="str">
            <v>Letras Hipotecarias</v>
          </cell>
        </row>
        <row r="490">
          <cell r="A490">
            <v>201944453</v>
          </cell>
          <cell r="B490">
            <v>3001999</v>
          </cell>
          <cell r="C490" t="str">
            <v>Otros</v>
          </cell>
        </row>
        <row r="491">
          <cell r="A491">
            <v>201944454</v>
          </cell>
          <cell r="B491">
            <v>3002</v>
          </cell>
          <cell r="C491" t="str">
            <v>Compra de Acciones y Participaciones de Capital</v>
          </cell>
        </row>
        <row r="492">
          <cell r="A492">
            <v>201944455</v>
          </cell>
          <cell r="B492">
            <v>3003</v>
          </cell>
          <cell r="C492" t="str">
            <v>Operaciones de Cambio</v>
          </cell>
        </row>
        <row r="493">
          <cell r="A493">
            <v>201944456</v>
          </cell>
          <cell r="B493">
            <v>3099</v>
          </cell>
          <cell r="C493" t="str">
            <v>Otros Activos Financieros</v>
          </cell>
        </row>
        <row r="494">
          <cell r="A494">
            <v>201944457</v>
          </cell>
          <cell r="B494">
            <v>31</v>
          </cell>
          <cell r="C494" t="str">
            <v>INICIATIVAS DE INVERSION</v>
          </cell>
        </row>
        <row r="495">
          <cell r="A495">
            <v>201944458</v>
          </cell>
          <cell r="B495">
            <v>3101</v>
          </cell>
          <cell r="C495" t="str">
            <v>Estudios Basicos</v>
          </cell>
        </row>
        <row r="496">
          <cell r="A496">
            <v>201944459</v>
          </cell>
          <cell r="B496">
            <v>3101001</v>
          </cell>
          <cell r="C496" t="str">
            <v>Gastos Administrativos</v>
          </cell>
        </row>
        <row r="497">
          <cell r="A497">
            <v>201944460</v>
          </cell>
          <cell r="B497">
            <v>3101002</v>
          </cell>
          <cell r="C497" t="str">
            <v>Consultorias</v>
          </cell>
        </row>
        <row r="498">
          <cell r="A498">
            <v>201944461</v>
          </cell>
          <cell r="B498">
            <v>3102</v>
          </cell>
          <cell r="C498" t="str">
            <v>Proyectos</v>
          </cell>
        </row>
        <row r="499">
          <cell r="A499">
            <v>201944462</v>
          </cell>
          <cell r="B499">
            <v>3102001</v>
          </cell>
          <cell r="C499" t="str">
            <v>Gastos Administrativos</v>
          </cell>
        </row>
        <row r="500">
          <cell r="A500">
            <v>201944463</v>
          </cell>
          <cell r="B500">
            <v>3102002</v>
          </cell>
          <cell r="C500" t="str">
            <v>Consultorias</v>
          </cell>
        </row>
        <row r="501">
          <cell r="A501">
            <v>201944464</v>
          </cell>
          <cell r="B501">
            <v>3102003</v>
          </cell>
          <cell r="C501" t="str">
            <v>Terrenos</v>
          </cell>
        </row>
        <row r="502">
          <cell r="A502">
            <v>201944465</v>
          </cell>
          <cell r="B502">
            <v>3102004</v>
          </cell>
          <cell r="C502" t="str">
            <v>Obras Civiles</v>
          </cell>
        </row>
        <row r="503">
          <cell r="A503">
            <v>201944466</v>
          </cell>
          <cell r="B503">
            <v>3102005</v>
          </cell>
          <cell r="C503" t="str">
            <v>Equipamiento</v>
          </cell>
        </row>
        <row r="504">
          <cell r="A504">
            <v>201944467</v>
          </cell>
          <cell r="B504">
            <v>3102006</v>
          </cell>
          <cell r="C504" t="str">
            <v>Equipos</v>
          </cell>
        </row>
        <row r="505">
          <cell r="A505">
            <v>201944468</v>
          </cell>
          <cell r="B505">
            <v>3102007</v>
          </cell>
          <cell r="C505" t="str">
            <v>Vehiculos</v>
          </cell>
        </row>
        <row r="506">
          <cell r="A506">
            <v>201944469</v>
          </cell>
          <cell r="B506">
            <v>3102999</v>
          </cell>
          <cell r="C506" t="str">
            <v>Otros Gastos</v>
          </cell>
        </row>
        <row r="507">
          <cell r="A507">
            <v>201944470</v>
          </cell>
          <cell r="B507">
            <v>3103</v>
          </cell>
          <cell r="C507" t="str">
            <v>Programas de Inversion</v>
          </cell>
        </row>
        <row r="508">
          <cell r="A508">
            <v>201944471</v>
          </cell>
          <cell r="B508">
            <v>3103001</v>
          </cell>
          <cell r="C508" t="str">
            <v>Gastos Administrativos</v>
          </cell>
        </row>
        <row r="509">
          <cell r="A509">
            <v>201944472</v>
          </cell>
          <cell r="B509">
            <v>3103002</v>
          </cell>
          <cell r="C509" t="str">
            <v>Consultorias</v>
          </cell>
        </row>
        <row r="510">
          <cell r="A510">
            <v>201944473</v>
          </cell>
          <cell r="B510">
            <v>3103003</v>
          </cell>
          <cell r="C510" t="str">
            <v>Contratacion del Programa</v>
          </cell>
        </row>
        <row r="511">
          <cell r="A511">
            <v>201944474</v>
          </cell>
          <cell r="B511">
            <v>32</v>
          </cell>
          <cell r="C511" t="str">
            <v>PRESTAMOS</v>
          </cell>
        </row>
        <row r="512">
          <cell r="A512">
            <v>201944475</v>
          </cell>
          <cell r="B512">
            <v>3201</v>
          </cell>
          <cell r="C512" t="str">
            <v>De Asistencia Social</v>
          </cell>
        </row>
        <row r="513">
          <cell r="A513">
            <v>201944476</v>
          </cell>
          <cell r="B513">
            <v>3202</v>
          </cell>
          <cell r="C513" t="str">
            <v>Hipotecarios</v>
          </cell>
        </row>
        <row r="514">
          <cell r="A514">
            <v>201944477</v>
          </cell>
          <cell r="B514">
            <v>3203</v>
          </cell>
          <cell r="C514" t="str">
            <v>Pignoraticios</v>
          </cell>
        </row>
        <row r="515">
          <cell r="A515">
            <v>201944478</v>
          </cell>
          <cell r="B515">
            <v>3204</v>
          </cell>
          <cell r="C515" t="str">
            <v>De Fomento</v>
          </cell>
        </row>
        <row r="516">
          <cell r="A516">
            <v>201944667</v>
          </cell>
          <cell r="B516">
            <v>3204002</v>
          </cell>
          <cell r="C516" t="str">
            <v>Municipalidades</v>
          </cell>
        </row>
        <row r="517">
          <cell r="A517">
            <v>201944479</v>
          </cell>
          <cell r="B517">
            <v>3205</v>
          </cell>
          <cell r="C517" t="str">
            <v>Medicos</v>
          </cell>
        </row>
        <row r="518">
          <cell r="A518">
            <v>201944480</v>
          </cell>
          <cell r="B518">
            <v>3206</v>
          </cell>
          <cell r="C518" t="str">
            <v>Por Anticipos a Contratistas</v>
          </cell>
        </row>
        <row r="519">
          <cell r="A519">
            <v>201944481</v>
          </cell>
          <cell r="B519">
            <v>3207</v>
          </cell>
          <cell r="C519" t="str">
            <v>Por Anticipos por Cambio de Residencia</v>
          </cell>
        </row>
        <row r="520">
          <cell r="A520">
            <v>201944482</v>
          </cell>
          <cell r="B520">
            <v>3209</v>
          </cell>
          <cell r="C520" t="str">
            <v>Por Ventas a Plazo</v>
          </cell>
        </row>
        <row r="521">
          <cell r="A521">
            <v>201944483</v>
          </cell>
          <cell r="B521">
            <v>33</v>
          </cell>
          <cell r="C521" t="str">
            <v>TRANSFERENCIAS DE CAPITAL</v>
          </cell>
        </row>
        <row r="522">
          <cell r="A522">
            <v>201944484</v>
          </cell>
          <cell r="B522">
            <v>3301</v>
          </cell>
          <cell r="C522" t="str">
            <v>Al Sector Privado</v>
          </cell>
        </row>
        <row r="523">
          <cell r="A523">
            <v>201944485</v>
          </cell>
          <cell r="B523">
            <v>3302</v>
          </cell>
          <cell r="C523" t="str">
            <v>Al Gobierno Central</v>
          </cell>
        </row>
        <row r="524">
          <cell r="A524">
            <v>201944578</v>
          </cell>
          <cell r="B524">
            <v>3302001</v>
          </cell>
          <cell r="C524" t="str">
            <v>Programa Inversion Regional Region I</v>
          </cell>
        </row>
        <row r="525">
          <cell r="A525">
            <v>201944579</v>
          </cell>
          <cell r="B525">
            <v>3302002</v>
          </cell>
          <cell r="C525" t="str">
            <v>Programa Inversion Regional Region II</v>
          </cell>
        </row>
        <row r="526">
          <cell r="A526">
            <v>201944580</v>
          </cell>
          <cell r="B526">
            <v>3302003</v>
          </cell>
          <cell r="C526" t="str">
            <v>Programa Inversion Regional Region III</v>
          </cell>
        </row>
        <row r="527">
          <cell r="A527">
            <v>201944581</v>
          </cell>
          <cell r="B527">
            <v>3302004</v>
          </cell>
          <cell r="C527" t="str">
            <v>Programa Inversion Regional Region IV</v>
          </cell>
        </row>
        <row r="528">
          <cell r="A528">
            <v>201944582</v>
          </cell>
          <cell r="B528">
            <v>3302005</v>
          </cell>
          <cell r="C528" t="str">
            <v>Programa Inversion Regional Region V</v>
          </cell>
        </row>
        <row r="529">
          <cell r="A529">
            <v>201944583</v>
          </cell>
          <cell r="B529">
            <v>3302006</v>
          </cell>
          <cell r="C529" t="str">
            <v>Programa Inversion Regional Region VI</v>
          </cell>
        </row>
        <row r="530">
          <cell r="A530">
            <v>201944584</v>
          </cell>
          <cell r="B530">
            <v>3302007</v>
          </cell>
          <cell r="C530" t="str">
            <v>Programa Inversion Regional Region VII</v>
          </cell>
        </row>
        <row r="531">
          <cell r="A531">
            <v>201944585</v>
          </cell>
          <cell r="B531">
            <v>3302008</v>
          </cell>
          <cell r="C531" t="str">
            <v>Programa Inversion Regional Region VIII</v>
          </cell>
        </row>
        <row r="532">
          <cell r="A532">
            <v>201944586</v>
          </cell>
          <cell r="B532">
            <v>3302009</v>
          </cell>
          <cell r="C532" t="str">
            <v>Programa Inversion Regional Region IX</v>
          </cell>
        </row>
        <row r="533">
          <cell r="A533">
            <v>201944587</v>
          </cell>
          <cell r="B533">
            <v>3302010</v>
          </cell>
          <cell r="C533" t="str">
            <v>Programa Inversion Regional Region X</v>
          </cell>
        </row>
        <row r="534">
          <cell r="A534">
            <v>201944658</v>
          </cell>
          <cell r="B534">
            <v>3302011</v>
          </cell>
          <cell r="C534" t="str">
            <v>Programa Inversion Regional Region XI</v>
          </cell>
        </row>
        <row r="535">
          <cell r="A535">
            <v>201944588</v>
          </cell>
          <cell r="B535">
            <v>3302012</v>
          </cell>
          <cell r="C535" t="str">
            <v>Programa Inversion Regional Region XII</v>
          </cell>
        </row>
        <row r="536">
          <cell r="A536">
            <v>201944642</v>
          </cell>
          <cell r="B536">
            <v>3302013</v>
          </cell>
          <cell r="C536" t="str">
            <v>Programa Inversion Regional Region Metropolitana</v>
          </cell>
        </row>
        <row r="537">
          <cell r="A537">
            <v>201944656</v>
          </cell>
          <cell r="B537">
            <v>3302014</v>
          </cell>
          <cell r="C537" t="str">
            <v>Programa Inversion Regional Region XIV</v>
          </cell>
        </row>
        <row r="538">
          <cell r="A538">
            <v>201944657</v>
          </cell>
          <cell r="B538">
            <v>3302015</v>
          </cell>
          <cell r="C538" t="str">
            <v>Programa Inversion Regional Region XV</v>
          </cell>
        </row>
        <row r="539">
          <cell r="A539">
            <v>201946403</v>
          </cell>
          <cell r="B539">
            <v>3302016</v>
          </cell>
          <cell r="C539" t="str">
            <v>Al Consejo Nacional De La Cultura Y Las Artes</v>
          </cell>
        </row>
        <row r="540">
          <cell r="A540">
            <v>201944486</v>
          </cell>
          <cell r="B540">
            <v>3303</v>
          </cell>
          <cell r="C540" t="str">
            <v>A Otras Entidades Publicas</v>
          </cell>
        </row>
        <row r="541">
          <cell r="A541">
            <v>201944643</v>
          </cell>
          <cell r="B541">
            <v>3303001</v>
          </cell>
          <cell r="C541" t="str">
            <v>Provision Fondo Nacional de Desarrollo Regional</v>
          </cell>
        </row>
        <row r="542">
          <cell r="A542">
            <v>201944644</v>
          </cell>
          <cell r="B542">
            <v>3303003</v>
          </cell>
          <cell r="C542" t="str">
            <v>Provision Infraestructura Educacional</v>
          </cell>
        </row>
        <row r="543">
          <cell r="A543">
            <v>201944645</v>
          </cell>
          <cell r="B543">
            <v>3303005</v>
          </cell>
          <cell r="C543" t="str">
            <v>Municipalidades (Programa Mejoramiento Urbano y Equipamiento Comunal)</v>
          </cell>
        </row>
        <row r="544">
          <cell r="A544">
            <v>201944650</v>
          </cell>
          <cell r="B544">
            <v>3303005001</v>
          </cell>
          <cell r="C544" t="str">
            <v>Emergencia</v>
          </cell>
        </row>
        <row r="545">
          <cell r="A545">
            <v>201944651</v>
          </cell>
          <cell r="B545">
            <v>3303005002</v>
          </cell>
          <cell r="C545" t="str">
            <v>Tradicional</v>
          </cell>
        </row>
        <row r="546">
          <cell r="A546">
            <v>201944652</v>
          </cell>
          <cell r="B546">
            <v>3303005003</v>
          </cell>
          <cell r="C546" t="str">
            <v>Emergencia FIE</v>
          </cell>
        </row>
        <row r="547">
          <cell r="A547">
            <v>201944646</v>
          </cell>
          <cell r="B547">
            <v>3303006</v>
          </cell>
          <cell r="C547" t="str">
            <v>Municipalidades (Programa Mejoramiento de Barrios)</v>
          </cell>
        </row>
        <row r="548">
          <cell r="A548">
            <v>201944571</v>
          </cell>
          <cell r="B548">
            <v>3303016</v>
          </cell>
          <cell r="C548" t="str">
            <v>Municipalidades - Sistema Informacion Financiera Municipal</v>
          </cell>
        </row>
        <row r="549">
          <cell r="A549">
            <v>201944647</v>
          </cell>
          <cell r="B549">
            <v>3303017</v>
          </cell>
          <cell r="C549" t="str">
            <v>Provision Programa Infraestructura Rural</v>
          </cell>
        </row>
        <row r="550">
          <cell r="A550">
            <v>201944659</v>
          </cell>
          <cell r="B550">
            <v>3303021</v>
          </cell>
          <cell r="C550" t="str">
            <v>Provision Puesta en Valor del Patrimonio</v>
          </cell>
        </row>
        <row r="551">
          <cell r="A551">
            <v>201944654</v>
          </cell>
          <cell r="B551">
            <v>3303024</v>
          </cell>
          <cell r="C551" t="str">
            <v>Provision Programa Fondo de Innovacion para la Competitividad</v>
          </cell>
        </row>
        <row r="552">
          <cell r="A552">
            <v>201944655</v>
          </cell>
          <cell r="B552">
            <v>3303025</v>
          </cell>
          <cell r="C552" t="str">
            <v>Provision de Apoyo a la Gestion Subnacional</v>
          </cell>
        </row>
        <row r="553">
          <cell r="A553">
            <v>201944565</v>
          </cell>
          <cell r="B553">
            <v>3303100</v>
          </cell>
          <cell r="C553" t="str">
            <v>Municipalidades (Fondo Recuperacion de Ciudades)</v>
          </cell>
        </row>
        <row r="554">
          <cell r="A554">
            <v>201944666</v>
          </cell>
          <cell r="B554">
            <v>3303110</v>
          </cell>
          <cell r="C554" t="str">
            <v>Municipalidades (Fondo de Incentivo al Mejoramiento de la Gestion Municipal)</v>
          </cell>
        </row>
        <row r="555">
          <cell r="A555">
            <v>201944648</v>
          </cell>
          <cell r="B555">
            <v>3303130</v>
          </cell>
          <cell r="C555" t="str">
            <v>Provision Programa Saneamiento Sanitario</v>
          </cell>
        </row>
        <row r="556">
          <cell r="A556">
            <v>201944649</v>
          </cell>
          <cell r="B556">
            <v>3303190</v>
          </cell>
          <cell r="C556" t="str">
            <v>Provision Programa Residuos Solidos</v>
          </cell>
        </row>
        <row r="557">
          <cell r="A557">
            <v>201944660</v>
          </cell>
          <cell r="B557">
            <v>3303418</v>
          </cell>
          <cell r="C557" t="str">
            <v>Provision Ley N 20.378 - Fondo de Apoyo Regional (FAR)</v>
          </cell>
        </row>
        <row r="558">
          <cell r="A558">
            <v>201944564</v>
          </cell>
          <cell r="B558">
            <v>3303421</v>
          </cell>
          <cell r="C558" t="str">
            <v>Provision Incorporacion Mayores Ingresos Propios</v>
          </cell>
        </row>
        <row r="559">
          <cell r="A559">
            <v>201944563</v>
          </cell>
          <cell r="B559">
            <v>3303423</v>
          </cell>
          <cell r="C559" t="str">
            <v>Provision Recuperacion Infraestructura Local Zona Centro Sur</v>
          </cell>
        </row>
        <row r="560">
          <cell r="A560">
            <v>201944562</v>
          </cell>
          <cell r="B560">
            <v>3303426</v>
          </cell>
          <cell r="C560" t="str">
            <v>Provision Energizacion</v>
          </cell>
        </row>
        <row r="561">
          <cell r="A561">
            <v>201944487</v>
          </cell>
          <cell r="B561">
            <v>3304</v>
          </cell>
          <cell r="C561" t="str">
            <v>A Empresas Publicas no Financieras</v>
          </cell>
        </row>
        <row r="562">
          <cell r="A562">
            <v>201944488</v>
          </cell>
          <cell r="B562">
            <v>3305</v>
          </cell>
          <cell r="C562" t="str">
            <v>A Empresas Publicas Financieras</v>
          </cell>
        </row>
        <row r="563">
          <cell r="A563">
            <v>201944489</v>
          </cell>
          <cell r="B563">
            <v>3306</v>
          </cell>
          <cell r="C563" t="str">
            <v>A Gobiernos Extranjeros</v>
          </cell>
        </row>
        <row r="564">
          <cell r="A564">
            <v>201944490</v>
          </cell>
          <cell r="B564">
            <v>3307</v>
          </cell>
          <cell r="C564" t="str">
            <v>A Organismos Internacionales</v>
          </cell>
        </row>
        <row r="565">
          <cell r="A565">
            <v>201944491</v>
          </cell>
          <cell r="B565">
            <v>34</v>
          </cell>
          <cell r="C565" t="str">
            <v>SERVICIO DE LA DEUDA</v>
          </cell>
        </row>
        <row r="566">
          <cell r="A566">
            <v>201944492</v>
          </cell>
          <cell r="B566">
            <v>3401</v>
          </cell>
          <cell r="C566" t="str">
            <v>Amortizacion Deuda Interna</v>
          </cell>
        </row>
        <row r="567">
          <cell r="A567">
            <v>201944589</v>
          </cell>
          <cell r="B567">
            <v>3401001</v>
          </cell>
          <cell r="C567" t="str">
            <v>Rescate de Valores</v>
          </cell>
        </row>
        <row r="568">
          <cell r="A568">
            <v>201944590</v>
          </cell>
          <cell r="B568">
            <v>3401002</v>
          </cell>
          <cell r="C568" t="str">
            <v>Emprestitos</v>
          </cell>
        </row>
        <row r="569">
          <cell r="A569">
            <v>201944591</v>
          </cell>
          <cell r="B569">
            <v>3401003</v>
          </cell>
          <cell r="C569" t="str">
            <v>Creditos de Proveedores</v>
          </cell>
        </row>
        <row r="570">
          <cell r="A570">
            <v>201944592</v>
          </cell>
          <cell r="B570">
            <v>3402</v>
          </cell>
          <cell r="C570" t="str">
            <v>Amortizacion Deuda Externa</v>
          </cell>
        </row>
        <row r="571">
          <cell r="A571">
            <v>201944593</v>
          </cell>
          <cell r="B571">
            <v>3402001</v>
          </cell>
          <cell r="C571" t="str">
            <v>Rescate de Valores</v>
          </cell>
        </row>
        <row r="572">
          <cell r="A572">
            <v>201944594</v>
          </cell>
          <cell r="B572">
            <v>3402002</v>
          </cell>
          <cell r="C572" t="str">
            <v>Emprestitos</v>
          </cell>
        </row>
        <row r="573">
          <cell r="A573">
            <v>201944595</v>
          </cell>
          <cell r="B573">
            <v>3402003</v>
          </cell>
          <cell r="C573" t="str">
            <v>Creditos de Proveedores</v>
          </cell>
        </row>
        <row r="574">
          <cell r="A574">
            <v>201944596</v>
          </cell>
          <cell r="B574">
            <v>3403</v>
          </cell>
          <cell r="C574" t="str">
            <v>Intereses Deuda Interna</v>
          </cell>
        </row>
        <row r="575">
          <cell r="A575">
            <v>201944597</v>
          </cell>
          <cell r="B575">
            <v>3403001</v>
          </cell>
          <cell r="C575" t="str">
            <v>Por Emision de Valores</v>
          </cell>
        </row>
        <row r="576">
          <cell r="A576">
            <v>201944598</v>
          </cell>
          <cell r="B576">
            <v>3403002</v>
          </cell>
          <cell r="C576" t="str">
            <v>Emprestitos</v>
          </cell>
        </row>
        <row r="577">
          <cell r="A577">
            <v>201944599</v>
          </cell>
          <cell r="B577">
            <v>3403003</v>
          </cell>
          <cell r="C577" t="str">
            <v>Creditos de Proveedores</v>
          </cell>
        </row>
        <row r="578">
          <cell r="A578">
            <v>201944600</v>
          </cell>
          <cell r="B578">
            <v>3404</v>
          </cell>
          <cell r="C578" t="str">
            <v>Intereses Deuda Externa</v>
          </cell>
        </row>
        <row r="579">
          <cell r="A579">
            <v>201944601</v>
          </cell>
          <cell r="B579">
            <v>3404001</v>
          </cell>
          <cell r="C579" t="str">
            <v>Por Emision de Valores</v>
          </cell>
        </row>
        <row r="580">
          <cell r="A580">
            <v>201944602</v>
          </cell>
          <cell r="B580">
            <v>3404002</v>
          </cell>
          <cell r="C580" t="str">
            <v>Emprestitos</v>
          </cell>
        </row>
        <row r="581">
          <cell r="A581">
            <v>201944661</v>
          </cell>
          <cell r="B581">
            <v>3404002001</v>
          </cell>
          <cell r="C581" t="str">
            <v>Intereses Deuda Publica</v>
          </cell>
        </row>
        <row r="582">
          <cell r="A582">
            <v>201944662</v>
          </cell>
          <cell r="B582">
            <v>3404002002</v>
          </cell>
          <cell r="C582" t="str">
            <v>Comisiones Deuda Publica</v>
          </cell>
        </row>
        <row r="583">
          <cell r="A583">
            <v>201944603</v>
          </cell>
          <cell r="B583">
            <v>3404003</v>
          </cell>
          <cell r="C583" t="str">
            <v>Creditos de Proveedores</v>
          </cell>
        </row>
        <row r="584">
          <cell r="A584">
            <v>201944604</v>
          </cell>
          <cell r="B584">
            <v>3405</v>
          </cell>
          <cell r="C584" t="str">
            <v>Otros Gastos Financieros Deuda Interna</v>
          </cell>
        </row>
        <row r="585">
          <cell r="A585">
            <v>201944605</v>
          </cell>
          <cell r="B585">
            <v>3405001</v>
          </cell>
          <cell r="C585" t="str">
            <v>Por Emision de Valores</v>
          </cell>
        </row>
        <row r="586">
          <cell r="A586">
            <v>201944606</v>
          </cell>
          <cell r="B586">
            <v>3405002</v>
          </cell>
          <cell r="C586" t="str">
            <v>Emprestitos</v>
          </cell>
        </row>
        <row r="587">
          <cell r="A587">
            <v>201944607</v>
          </cell>
          <cell r="B587">
            <v>3405003</v>
          </cell>
          <cell r="C587" t="str">
            <v>Creditos de Proveedores</v>
          </cell>
        </row>
        <row r="588">
          <cell r="A588">
            <v>201944608</v>
          </cell>
          <cell r="B588">
            <v>3406</v>
          </cell>
          <cell r="C588" t="str">
            <v>Otros Gastos Financieros Deuda Externa</v>
          </cell>
        </row>
        <row r="589">
          <cell r="A589">
            <v>201944609</v>
          </cell>
          <cell r="B589">
            <v>3406001</v>
          </cell>
          <cell r="C589" t="str">
            <v>Por Emision de Valores</v>
          </cell>
        </row>
        <row r="590">
          <cell r="A590">
            <v>201944610</v>
          </cell>
          <cell r="B590">
            <v>3406002</v>
          </cell>
          <cell r="C590" t="str">
            <v>Emprestitos</v>
          </cell>
        </row>
        <row r="591">
          <cell r="A591">
            <v>201944611</v>
          </cell>
          <cell r="B591">
            <v>3406003</v>
          </cell>
          <cell r="C591" t="str">
            <v>Creditos de Proveedores</v>
          </cell>
        </row>
        <row r="592">
          <cell r="A592">
            <v>201944612</v>
          </cell>
          <cell r="B592">
            <v>3407</v>
          </cell>
          <cell r="C592" t="str">
            <v>Deuda Flotante</v>
          </cell>
        </row>
        <row r="593">
          <cell r="A593">
            <v>201944613</v>
          </cell>
          <cell r="B593">
            <v>35</v>
          </cell>
          <cell r="C593" t="str">
            <v>SALDO FINAL DE CAJA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6 (2)"/>
      <sheetName val="Hoja6"/>
      <sheetName val="Analisis 21"/>
      <sheetName val="Compromisos Arrastre 2015"/>
      <sheetName val="Informatica"/>
      <sheetName val="Modificacion Sifim"/>
      <sheetName val="Academia 26"/>
      <sheetName val="Municipalidades 029"/>
      <sheetName val="Acreditación 031"/>
      <sheetName val="Mejoramiento 032"/>
      <sheetName val="Sifim 016"/>
      <sheetName val="Clasificador Presupuestario"/>
    </sheetNames>
    <sheetDataSet>
      <sheetData sheetId="0"/>
      <sheetData sheetId="1"/>
      <sheetData sheetId="2"/>
      <sheetData sheetId="3"/>
      <sheetData sheetId="4"/>
      <sheetData sheetId="5"/>
      <sheetData sheetId="6"/>
      <sheetData sheetId="7"/>
      <sheetData sheetId="8"/>
      <sheetData sheetId="9"/>
      <sheetData sheetId="10"/>
      <sheetData sheetId="11">
        <row r="1">
          <cell r="A1" t="str">
            <v>Id</v>
          </cell>
          <cell r="B1" t="str">
            <v>Código</v>
          </cell>
          <cell r="C1" t="str">
            <v>Nombre</v>
          </cell>
        </row>
        <row r="2">
          <cell r="A2">
            <v>201944379</v>
          </cell>
          <cell r="B2">
            <v>1</v>
          </cell>
          <cell r="C2" t="str">
            <v>IMPUESTOS</v>
          </cell>
        </row>
        <row r="3">
          <cell r="A3">
            <v>201944380</v>
          </cell>
          <cell r="B3">
            <v>101</v>
          </cell>
          <cell r="C3" t="str">
            <v>Impuestos a la Renta</v>
          </cell>
        </row>
        <row r="4">
          <cell r="A4">
            <v>201944381</v>
          </cell>
          <cell r="B4">
            <v>101001</v>
          </cell>
          <cell r="C4" t="str">
            <v>Primera Categoria</v>
          </cell>
        </row>
        <row r="5">
          <cell r="A5">
            <v>201944382</v>
          </cell>
          <cell r="B5">
            <v>101002</v>
          </cell>
          <cell r="C5" t="str">
            <v>Segunda Categoria, Sueldos, Salarios y Pensiones</v>
          </cell>
        </row>
        <row r="6">
          <cell r="A6">
            <v>201944383</v>
          </cell>
          <cell r="B6">
            <v>101003</v>
          </cell>
          <cell r="C6" t="str">
            <v>Global Complementario</v>
          </cell>
        </row>
        <row r="7">
          <cell r="A7">
            <v>201944384</v>
          </cell>
          <cell r="B7">
            <v>101004</v>
          </cell>
          <cell r="C7" t="str">
            <v>Adicional</v>
          </cell>
        </row>
        <row r="8">
          <cell r="A8">
            <v>201944385</v>
          </cell>
          <cell r="B8">
            <v>101005</v>
          </cell>
          <cell r="C8" t="str">
            <v>Tasa 40% DL N 2.398 de 1978</v>
          </cell>
        </row>
        <row r="9">
          <cell r="A9">
            <v>201944386</v>
          </cell>
          <cell r="B9">
            <v>101006</v>
          </cell>
          <cell r="C9" t="str">
            <v>Articulo 21 Ley Impuesto a la Renta</v>
          </cell>
        </row>
        <row r="10">
          <cell r="A10">
            <v>201944387</v>
          </cell>
          <cell r="B10">
            <v>101007</v>
          </cell>
          <cell r="C10" t="str">
            <v>Termino de Giro</v>
          </cell>
        </row>
        <row r="11">
          <cell r="A11">
            <v>201944388</v>
          </cell>
          <cell r="B11">
            <v>102</v>
          </cell>
          <cell r="C11" t="str">
            <v>Impuesto al Valor Agregado</v>
          </cell>
        </row>
        <row r="12">
          <cell r="A12">
            <v>201944389</v>
          </cell>
          <cell r="B12">
            <v>102001</v>
          </cell>
          <cell r="C12" t="str">
            <v>Tasa General Debitos</v>
          </cell>
        </row>
        <row r="13">
          <cell r="A13">
            <v>201944390</v>
          </cell>
          <cell r="B13">
            <v>102002</v>
          </cell>
          <cell r="C13" t="str">
            <v>Tasa General Creditos</v>
          </cell>
        </row>
        <row r="14">
          <cell r="A14">
            <v>201944391</v>
          </cell>
          <cell r="B14">
            <v>102101</v>
          </cell>
          <cell r="C14" t="str">
            <v>Tasas Especiales Debitos</v>
          </cell>
        </row>
        <row r="15">
          <cell r="A15">
            <v>201944392</v>
          </cell>
          <cell r="B15">
            <v>102102</v>
          </cell>
          <cell r="C15" t="str">
            <v>Tasas Especiales Creditos</v>
          </cell>
        </row>
        <row r="16">
          <cell r="A16">
            <v>201944393</v>
          </cell>
          <cell r="B16">
            <v>102201</v>
          </cell>
          <cell r="C16" t="str">
            <v>Tasa General de Importaciones</v>
          </cell>
        </row>
        <row r="17">
          <cell r="A17">
            <v>201944394</v>
          </cell>
          <cell r="B17">
            <v>103</v>
          </cell>
          <cell r="C17" t="str">
            <v>Impuestos a Productos Especificos</v>
          </cell>
        </row>
        <row r="18">
          <cell r="A18">
            <v>201944395</v>
          </cell>
          <cell r="B18">
            <v>103001</v>
          </cell>
          <cell r="C18" t="str">
            <v>Tabacos, Cigarros y Cigarrillos</v>
          </cell>
        </row>
        <row r="19">
          <cell r="A19">
            <v>201944396</v>
          </cell>
          <cell r="B19">
            <v>103002</v>
          </cell>
          <cell r="C19" t="str">
            <v>Derechos de Explotacion ENAP</v>
          </cell>
        </row>
        <row r="20">
          <cell r="A20">
            <v>201944397</v>
          </cell>
          <cell r="B20">
            <v>103003</v>
          </cell>
          <cell r="C20" t="str">
            <v>Gasolinas, Petroleo Diesel y Otros</v>
          </cell>
        </row>
        <row r="21">
          <cell r="A21">
            <v>201944398</v>
          </cell>
          <cell r="B21">
            <v>104</v>
          </cell>
          <cell r="C21" t="str">
            <v>Impuestos a los Actos Juridicos</v>
          </cell>
        </row>
        <row r="22">
          <cell r="A22">
            <v>201944399</v>
          </cell>
          <cell r="B22">
            <v>105</v>
          </cell>
          <cell r="C22" t="str">
            <v>Impuestos al Comercio Exterior</v>
          </cell>
        </row>
        <row r="23">
          <cell r="A23">
            <v>201944400</v>
          </cell>
          <cell r="B23">
            <v>105001</v>
          </cell>
          <cell r="C23" t="str">
            <v>Derechos Especificos de Internacion</v>
          </cell>
        </row>
        <row r="24">
          <cell r="A24">
            <v>201944401</v>
          </cell>
          <cell r="B24">
            <v>105002</v>
          </cell>
          <cell r="C24" t="str">
            <v>Derechos Ad-Valorem</v>
          </cell>
        </row>
        <row r="25">
          <cell r="A25">
            <v>201944402</v>
          </cell>
          <cell r="B25">
            <v>105003</v>
          </cell>
          <cell r="C25" t="str">
            <v>Otros</v>
          </cell>
        </row>
        <row r="26">
          <cell r="A26">
            <v>201944403</v>
          </cell>
          <cell r="B26">
            <v>105004</v>
          </cell>
          <cell r="C26" t="str">
            <v>Sistemas de Pago</v>
          </cell>
        </row>
        <row r="27">
          <cell r="A27">
            <v>201944404</v>
          </cell>
          <cell r="B27">
            <v>106</v>
          </cell>
          <cell r="C27" t="str">
            <v>Impuestos Varios</v>
          </cell>
        </row>
        <row r="28">
          <cell r="A28">
            <v>201944405</v>
          </cell>
          <cell r="B28">
            <v>106001</v>
          </cell>
          <cell r="C28" t="str">
            <v>Herencias y Donaciones</v>
          </cell>
        </row>
        <row r="29">
          <cell r="A29">
            <v>201944406</v>
          </cell>
          <cell r="B29">
            <v>106002</v>
          </cell>
          <cell r="C29" t="str">
            <v>Patentes Mineras</v>
          </cell>
        </row>
        <row r="30">
          <cell r="A30">
            <v>201944407</v>
          </cell>
          <cell r="B30">
            <v>106004</v>
          </cell>
          <cell r="C30" t="str">
            <v>Juegos de Azar</v>
          </cell>
        </row>
        <row r="31">
          <cell r="A31">
            <v>201944408</v>
          </cell>
          <cell r="B31">
            <v>106006</v>
          </cell>
          <cell r="C31" t="str">
            <v>Otros</v>
          </cell>
        </row>
        <row r="32">
          <cell r="A32">
            <v>201944409</v>
          </cell>
          <cell r="B32">
            <v>107</v>
          </cell>
          <cell r="C32" t="str">
            <v>Otros Ingresos Tributarios</v>
          </cell>
        </row>
        <row r="33">
          <cell r="A33">
            <v>201944410</v>
          </cell>
          <cell r="B33">
            <v>107001</v>
          </cell>
          <cell r="C33" t="str">
            <v>Reajuste de Impuestos de Declaracion Anual</v>
          </cell>
        </row>
        <row r="34">
          <cell r="A34">
            <v>201944411</v>
          </cell>
          <cell r="B34">
            <v>107002</v>
          </cell>
          <cell r="C34" t="str">
            <v>Multas e Intereses por Impuestos</v>
          </cell>
        </row>
        <row r="35">
          <cell r="A35">
            <v>201944412</v>
          </cell>
          <cell r="B35">
            <v>109</v>
          </cell>
          <cell r="C35" t="str">
            <v>Sistema de Pago de Impuestos</v>
          </cell>
        </row>
        <row r="36">
          <cell r="A36">
            <v>201944413</v>
          </cell>
          <cell r="B36">
            <v>109001</v>
          </cell>
          <cell r="C36" t="str">
            <v>Pagos Provisionales del Ano</v>
          </cell>
        </row>
        <row r="37">
          <cell r="A37">
            <v>201944414</v>
          </cell>
          <cell r="B37">
            <v>109002</v>
          </cell>
          <cell r="C37" t="str">
            <v>Creditos para Declaracion Anual de Renta</v>
          </cell>
        </row>
        <row r="38">
          <cell r="A38">
            <v>201944415</v>
          </cell>
          <cell r="B38">
            <v>109003</v>
          </cell>
          <cell r="C38" t="str">
            <v>Devoluciones Determinadas Declaracion Anual de Renta</v>
          </cell>
        </row>
        <row r="39">
          <cell r="A39">
            <v>201944416</v>
          </cell>
          <cell r="B39">
            <v>109004</v>
          </cell>
          <cell r="C39" t="str">
            <v>Devoluciones de Renta</v>
          </cell>
        </row>
        <row r="40">
          <cell r="A40">
            <v>201944417</v>
          </cell>
          <cell r="B40">
            <v>109005</v>
          </cell>
          <cell r="C40" t="str">
            <v>Reintegro de Devoluciones de Renta</v>
          </cell>
        </row>
        <row r="41">
          <cell r="A41">
            <v>201944418</v>
          </cell>
          <cell r="B41">
            <v>109101</v>
          </cell>
          <cell r="C41" t="str">
            <v>IVA Remanente Credito del Periodo</v>
          </cell>
        </row>
        <row r="42">
          <cell r="A42">
            <v>201944419</v>
          </cell>
          <cell r="B42">
            <v>109102</v>
          </cell>
          <cell r="C42" t="str">
            <v>IVA Remanente Credito Periodos Anteriores</v>
          </cell>
        </row>
        <row r="43">
          <cell r="A43">
            <v>201944420</v>
          </cell>
          <cell r="B43">
            <v>109103</v>
          </cell>
          <cell r="C43" t="str">
            <v>Devoluciones de IVA</v>
          </cell>
        </row>
        <row r="44">
          <cell r="A44">
            <v>201944421</v>
          </cell>
          <cell r="B44">
            <v>109104</v>
          </cell>
          <cell r="C44" t="str">
            <v>Reintegro de Devoluciones de IVA</v>
          </cell>
        </row>
        <row r="45">
          <cell r="A45">
            <v>201944422</v>
          </cell>
          <cell r="B45">
            <v>109201</v>
          </cell>
          <cell r="C45" t="str">
            <v>Devoluciones de Aduanas</v>
          </cell>
        </row>
        <row r="46">
          <cell r="A46">
            <v>201944423</v>
          </cell>
          <cell r="B46">
            <v>109202</v>
          </cell>
          <cell r="C46" t="str">
            <v>Devoluciones de Otros Impuestos</v>
          </cell>
        </row>
        <row r="47">
          <cell r="A47">
            <v>201944424</v>
          </cell>
          <cell r="B47">
            <v>109301</v>
          </cell>
          <cell r="C47" t="str">
            <v>Fluctuacion Deudores del Periodo</v>
          </cell>
        </row>
        <row r="48">
          <cell r="A48">
            <v>201944425</v>
          </cell>
          <cell r="B48">
            <v>109302</v>
          </cell>
          <cell r="C48" t="str">
            <v>Fluctuacion Deudores de Periodos Anteriores</v>
          </cell>
        </row>
        <row r="49">
          <cell r="A49">
            <v>201944426</v>
          </cell>
          <cell r="B49">
            <v>109303</v>
          </cell>
          <cell r="C49" t="str">
            <v>Reajuste por Pago Fuera de Plazo</v>
          </cell>
        </row>
        <row r="50">
          <cell r="A50">
            <v>201944427</v>
          </cell>
          <cell r="B50">
            <v>109401</v>
          </cell>
          <cell r="C50" t="str">
            <v>Diferencias de Pago</v>
          </cell>
        </row>
        <row r="51">
          <cell r="A51">
            <v>201944428</v>
          </cell>
          <cell r="B51">
            <v>109501</v>
          </cell>
          <cell r="C51" t="str">
            <v>Impuestos de Declaracion y Pago Simultaneo Mensual de Empresas Constructoras</v>
          </cell>
        </row>
        <row r="52">
          <cell r="A52">
            <v>201944429</v>
          </cell>
          <cell r="B52">
            <v>109502</v>
          </cell>
          <cell r="C52" t="str">
            <v>Recuperacion Peajes Ley N 19.764</v>
          </cell>
        </row>
        <row r="53">
          <cell r="A53">
            <v>201944430</v>
          </cell>
          <cell r="B53">
            <v>109601</v>
          </cell>
          <cell r="C53" t="str">
            <v>Aplicacion Articulo 8 Ley N 18.566</v>
          </cell>
        </row>
        <row r="54">
          <cell r="A54">
            <v>201944431</v>
          </cell>
          <cell r="B54">
            <v>109701</v>
          </cell>
          <cell r="C54" t="str">
            <v>Conversion de Pagos en Moneda Extranjera</v>
          </cell>
        </row>
        <row r="55">
          <cell r="A55">
            <v>201944432</v>
          </cell>
          <cell r="B55">
            <v>4</v>
          </cell>
          <cell r="C55" t="str">
            <v>IMPOSICIONES PREVISIONALES</v>
          </cell>
        </row>
        <row r="56">
          <cell r="A56">
            <v>201944433</v>
          </cell>
          <cell r="B56">
            <v>401</v>
          </cell>
          <cell r="C56" t="str">
            <v>Aportes del Empleador</v>
          </cell>
        </row>
        <row r="57">
          <cell r="A57">
            <v>201944434</v>
          </cell>
          <cell r="B57">
            <v>401001</v>
          </cell>
          <cell r="C57" t="str">
            <v>Cotizaciones para la Ley de Accidentes del Trabajo</v>
          </cell>
        </row>
        <row r="58">
          <cell r="A58">
            <v>201944435</v>
          </cell>
          <cell r="B58">
            <v>401999</v>
          </cell>
          <cell r="C58" t="str">
            <v>Otros</v>
          </cell>
        </row>
        <row r="59">
          <cell r="A59">
            <v>201944436</v>
          </cell>
          <cell r="B59">
            <v>402</v>
          </cell>
          <cell r="C59" t="str">
            <v>Aportes del Trabajador</v>
          </cell>
        </row>
        <row r="60">
          <cell r="A60">
            <v>201944437</v>
          </cell>
          <cell r="B60">
            <v>402001</v>
          </cell>
          <cell r="C60" t="str">
            <v>Cotizaciones para el Fondo de Pensiones</v>
          </cell>
        </row>
        <row r="61">
          <cell r="A61">
            <v>201944438</v>
          </cell>
          <cell r="B61">
            <v>402002</v>
          </cell>
          <cell r="C61" t="str">
            <v>Cotizaciones para Salud</v>
          </cell>
        </row>
        <row r="62">
          <cell r="A62">
            <v>201944439</v>
          </cell>
          <cell r="B62">
            <v>402999</v>
          </cell>
          <cell r="C62" t="str">
            <v>Otros</v>
          </cell>
        </row>
        <row r="63">
          <cell r="A63">
            <v>201944440</v>
          </cell>
          <cell r="B63">
            <v>5</v>
          </cell>
          <cell r="C63" t="str">
            <v>TRANSFERENCIAS CORRIENTES</v>
          </cell>
        </row>
        <row r="64">
          <cell r="A64">
            <v>201944541</v>
          </cell>
          <cell r="B64">
            <v>501</v>
          </cell>
          <cell r="C64" t="str">
            <v>Del Sector Privado</v>
          </cell>
        </row>
        <row r="65">
          <cell r="A65">
            <v>201944542</v>
          </cell>
          <cell r="B65">
            <v>502</v>
          </cell>
          <cell r="C65" t="str">
            <v>Del Gobierno Central</v>
          </cell>
        </row>
        <row r="66">
          <cell r="A66">
            <v>201947082</v>
          </cell>
          <cell r="B66">
            <v>502112</v>
          </cell>
          <cell r="C66" t="str">
            <v>Subsecretaria de Desarrollo Regional y Administrativo - Programa 05</v>
          </cell>
        </row>
        <row r="67">
          <cell r="A67">
            <v>201947142</v>
          </cell>
          <cell r="B67">
            <v>502113</v>
          </cell>
          <cell r="C67" t="str">
            <v>Subsecretaria de Desarrollo Regional y Administrativo - Programa 03</v>
          </cell>
        </row>
        <row r="68">
          <cell r="A68">
            <v>201944543</v>
          </cell>
          <cell r="B68">
            <v>503</v>
          </cell>
          <cell r="C68" t="str">
            <v>De Otras Entidades Publicas</v>
          </cell>
        </row>
        <row r="69">
          <cell r="A69">
            <v>201944544</v>
          </cell>
          <cell r="B69">
            <v>504</v>
          </cell>
          <cell r="C69" t="str">
            <v>De Empresas Publicas no Financieras</v>
          </cell>
        </row>
        <row r="70">
          <cell r="A70">
            <v>201944545</v>
          </cell>
          <cell r="B70">
            <v>505</v>
          </cell>
          <cell r="C70" t="str">
            <v>De Empresas Publicas Financieras</v>
          </cell>
        </row>
        <row r="71">
          <cell r="A71">
            <v>201944546</v>
          </cell>
          <cell r="B71">
            <v>506</v>
          </cell>
          <cell r="C71" t="str">
            <v>De Gobiernos Extranjeros</v>
          </cell>
        </row>
        <row r="72">
          <cell r="A72">
            <v>201944547</v>
          </cell>
          <cell r="B72">
            <v>507</v>
          </cell>
          <cell r="C72" t="str">
            <v>De Organismos Internacionales</v>
          </cell>
        </row>
        <row r="73">
          <cell r="A73">
            <v>201944548</v>
          </cell>
          <cell r="B73">
            <v>6</v>
          </cell>
          <cell r="C73" t="str">
            <v>RENTAS DE LA PROPIEDAD</v>
          </cell>
        </row>
        <row r="74">
          <cell r="A74">
            <v>201944549</v>
          </cell>
          <cell r="B74">
            <v>601</v>
          </cell>
          <cell r="C74" t="str">
            <v>Arriendo de Activos No Financieros</v>
          </cell>
        </row>
        <row r="75">
          <cell r="A75">
            <v>201944550</v>
          </cell>
          <cell r="B75">
            <v>602</v>
          </cell>
          <cell r="C75" t="str">
            <v>Dividendos</v>
          </cell>
        </row>
        <row r="76">
          <cell r="A76">
            <v>201944551</v>
          </cell>
          <cell r="B76">
            <v>603</v>
          </cell>
          <cell r="C76" t="str">
            <v>Intereses</v>
          </cell>
        </row>
        <row r="77">
          <cell r="A77">
            <v>201944552</v>
          </cell>
          <cell r="B77">
            <v>604</v>
          </cell>
          <cell r="C77" t="str">
            <v>Participacion de Utilidades</v>
          </cell>
        </row>
        <row r="78">
          <cell r="A78">
            <v>201944553</v>
          </cell>
          <cell r="B78">
            <v>699</v>
          </cell>
          <cell r="C78" t="str">
            <v>Otras Rentas de la Propiedad</v>
          </cell>
        </row>
        <row r="79">
          <cell r="A79">
            <v>201944554</v>
          </cell>
          <cell r="B79">
            <v>7</v>
          </cell>
          <cell r="C79" t="str">
            <v>INGRESOS DE OPERACIN</v>
          </cell>
        </row>
        <row r="80">
          <cell r="A80">
            <v>201944555</v>
          </cell>
          <cell r="B80">
            <v>701</v>
          </cell>
          <cell r="C80" t="str">
            <v>Venta de Bienes</v>
          </cell>
        </row>
        <row r="81">
          <cell r="A81">
            <v>201944556</v>
          </cell>
          <cell r="B81">
            <v>702</v>
          </cell>
          <cell r="C81" t="str">
            <v>Venta de Servicios</v>
          </cell>
        </row>
        <row r="82">
          <cell r="A82">
            <v>201944557</v>
          </cell>
          <cell r="B82">
            <v>8</v>
          </cell>
          <cell r="C82" t="str">
            <v>OTROS INGRESOS CORRIENTES</v>
          </cell>
        </row>
        <row r="83">
          <cell r="A83">
            <v>201944558</v>
          </cell>
          <cell r="B83">
            <v>801</v>
          </cell>
          <cell r="C83" t="str">
            <v>Recuperaciones y Reembolsos por Licencias Medicas</v>
          </cell>
        </row>
        <row r="84">
          <cell r="A84">
            <v>201943631</v>
          </cell>
          <cell r="B84">
            <v>801001</v>
          </cell>
          <cell r="C84" t="str">
            <v>Reembolsos Art. 4 Ley N 19.345 y Ley N 19.117 Art. nico</v>
          </cell>
        </row>
        <row r="85">
          <cell r="A85">
            <v>201943632</v>
          </cell>
          <cell r="B85">
            <v>801002</v>
          </cell>
          <cell r="C85" t="str">
            <v>Recuperaciones Art. 12 Ley N 18.196 y Ley N 19.117 Art. nico</v>
          </cell>
        </row>
        <row r="86">
          <cell r="A86">
            <v>201943633</v>
          </cell>
          <cell r="B86">
            <v>802</v>
          </cell>
          <cell r="C86" t="str">
            <v>Multas y Sanciones Pecuniarias</v>
          </cell>
        </row>
        <row r="87">
          <cell r="A87">
            <v>201943634</v>
          </cell>
          <cell r="B87">
            <v>804</v>
          </cell>
          <cell r="C87" t="str">
            <v>Fondos de Terceros</v>
          </cell>
        </row>
        <row r="88">
          <cell r="A88">
            <v>201943635</v>
          </cell>
          <cell r="B88">
            <v>899</v>
          </cell>
          <cell r="C88" t="str">
            <v>Otros</v>
          </cell>
        </row>
        <row r="89">
          <cell r="A89">
            <v>201943636</v>
          </cell>
          <cell r="B89">
            <v>899001</v>
          </cell>
          <cell r="C89" t="str">
            <v>Devoluciones y Reintegros no Provenientes de Impuestos</v>
          </cell>
        </row>
        <row r="90">
          <cell r="A90">
            <v>201943637</v>
          </cell>
          <cell r="B90">
            <v>899003</v>
          </cell>
          <cell r="C90" t="str">
            <v>Fondos en Administracion en Banco Central</v>
          </cell>
        </row>
        <row r="91">
          <cell r="A91">
            <v>201943638</v>
          </cell>
          <cell r="B91">
            <v>899004</v>
          </cell>
          <cell r="C91" t="str">
            <v>ntegros Ley N 19.030</v>
          </cell>
        </row>
        <row r="92">
          <cell r="A92">
            <v>201943639</v>
          </cell>
          <cell r="B92">
            <v>899999</v>
          </cell>
          <cell r="C92" t="str">
            <v>Otros</v>
          </cell>
        </row>
        <row r="93">
          <cell r="A93">
            <v>201943640</v>
          </cell>
          <cell r="B93">
            <v>9</v>
          </cell>
          <cell r="C93" t="str">
            <v>APORTE FISCAL</v>
          </cell>
        </row>
        <row r="94">
          <cell r="A94">
            <v>201943641</v>
          </cell>
          <cell r="B94">
            <v>901</v>
          </cell>
          <cell r="C94" t="str">
            <v>Libre</v>
          </cell>
        </row>
        <row r="95">
          <cell r="A95">
            <v>201944574</v>
          </cell>
          <cell r="B95">
            <v>901001</v>
          </cell>
          <cell r="C95" t="str">
            <v>Remuneraciones</v>
          </cell>
        </row>
        <row r="96">
          <cell r="A96">
            <v>201944575</v>
          </cell>
          <cell r="B96">
            <v>901002</v>
          </cell>
          <cell r="C96" t="str">
            <v>Resto</v>
          </cell>
        </row>
        <row r="97">
          <cell r="A97">
            <v>201943642</v>
          </cell>
          <cell r="B97">
            <v>902</v>
          </cell>
          <cell r="C97" t="str">
            <v>Servicio de la Deuda Interna</v>
          </cell>
        </row>
        <row r="98">
          <cell r="A98">
            <v>201943643</v>
          </cell>
          <cell r="B98">
            <v>902001</v>
          </cell>
          <cell r="C98" t="str">
            <v>Amortizaciones</v>
          </cell>
        </row>
        <row r="99">
          <cell r="A99">
            <v>201943644</v>
          </cell>
          <cell r="B99">
            <v>902002</v>
          </cell>
          <cell r="C99" t="str">
            <v>Intereses</v>
          </cell>
        </row>
        <row r="100">
          <cell r="A100">
            <v>201943645</v>
          </cell>
          <cell r="B100">
            <v>902003</v>
          </cell>
          <cell r="C100" t="str">
            <v>Otros Gastos Financieros</v>
          </cell>
        </row>
        <row r="101">
          <cell r="A101">
            <v>201943646</v>
          </cell>
          <cell r="B101">
            <v>903</v>
          </cell>
          <cell r="C101" t="str">
            <v>Servicio de la Deuda Externa</v>
          </cell>
        </row>
        <row r="102">
          <cell r="A102">
            <v>201943647</v>
          </cell>
          <cell r="B102">
            <v>903001</v>
          </cell>
          <cell r="C102" t="str">
            <v>Amortizaciones</v>
          </cell>
        </row>
        <row r="103">
          <cell r="A103">
            <v>201943648</v>
          </cell>
          <cell r="B103">
            <v>903002</v>
          </cell>
          <cell r="C103" t="str">
            <v>Intereses</v>
          </cell>
        </row>
        <row r="104">
          <cell r="A104">
            <v>201944567</v>
          </cell>
          <cell r="B104">
            <v>903002001</v>
          </cell>
          <cell r="C104" t="str">
            <v>Intereses Servicio a la Deuda</v>
          </cell>
        </row>
        <row r="105">
          <cell r="A105">
            <v>201944566</v>
          </cell>
          <cell r="B105">
            <v>903002002</v>
          </cell>
          <cell r="C105" t="str">
            <v>Comisiones Servicio a la Deuda</v>
          </cell>
        </row>
        <row r="106">
          <cell r="A106">
            <v>201943649</v>
          </cell>
          <cell r="B106">
            <v>903003</v>
          </cell>
          <cell r="C106" t="str">
            <v>Otros Gastos Financieros</v>
          </cell>
        </row>
        <row r="107">
          <cell r="A107">
            <v>201943650</v>
          </cell>
          <cell r="B107">
            <v>10</v>
          </cell>
          <cell r="C107" t="str">
            <v>VENTA DE ACTIVOS NO FINANCIEROS</v>
          </cell>
        </row>
        <row r="108">
          <cell r="A108">
            <v>201943651</v>
          </cell>
          <cell r="B108">
            <v>1001</v>
          </cell>
          <cell r="C108" t="str">
            <v>Terrenos</v>
          </cell>
        </row>
        <row r="109">
          <cell r="A109">
            <v>201943652</v>
          </cell>
          <cell r="B109">
            <v>1002</v>
          </cell>
          <cell r="C109" t="str">
            <v>Edificios</v>
          </cell>
        </row>
        <row r="110">
          <cell r="A110">
            <v>201943653</v>
          </cell>
          <cell r="B110">
            <v>1003</v>
          </cell>
          <cell r="C110" t="str">
            <v>Vehiculos</v>
          </cell>
        </row>
        <row r="111">
          <cell r="A111">
            <v>201943654</v>
          </cell>
          <cell r="B111">
            <v>1004</v>
          </cell>
          <cell r="C111" t="str">
            <v>Mobiliario y Otros</v>
          </cell>
        </row>
        <row r="112">
          <cell r="A112">
            <v>201943655</v>
          </cell>
          <cell r="B112">
            <v>1005</v>
          </cell>
          <cell r="C112" t="str">
            <v>Maquinas y Equipos</v>
          </cell>
        </row>
        <row r="113">
          <cell r="A113">
            <v>201943656</v>
          </cell>
          <cell r="B113">
            <v>1006</v>
          </cell>
          <cell r="C113" t="str">
            <v>Equipos Informaticos</v>
          </cell>
        </row>
        <row r="114">
          <cell r="A114">
            <v>201943657</v>
          </cell>
          <cell r="B114">
            <v>1007</v>
          </cell>
          <cell r="C114" t="str">
            <v>Programas Informaticos</v>
          </cell>
        </row>
        <row r="115">
          <cell r="A115">
            <v>201943658</v>
          </cell>
          <cell r="B115">
            <v>1099</v>
          </cell>
          <cell r="C115" t="str">
            <v>Otros Activos no Financieros</v>
          </cell>
        </row>
        <row r="116">
          <cell r="A116">
            <v>201943659</v>
          </cell>
          <cell r="B116">
            <v>11</v>
          </cell>
          <cell r="C116" t="str">
            <v>VENTA DE ACTIVOS FINANCIEROS</v>
          </cell>
        </row>
        <row r="117">
          <cell r="A117">
            <v>201943660</v>
          </cell>
          <cell r="B117">
            <v>1101</v>
          </cell>
          <cell r="C117" t="str">
            <v>Venta o Rescate de Titulos y Valores</v>
          </cell>
        </row>
        <row r="118">
          <cell r="A118">
            <v>201943661</v>
          </cell>
          <cell r="B118">
            <v>1101001</v>
          </cell>
          <cell r="C118" t="str">
            <v>Depositos a Plazo</v>
          </cell>
        </row>
        <row r="119">
          <cell r="A119">
            <v>201943662</v>
          </cell>
          <cell r="B119">
            <v>1101002</v>
          </cell>
          <cell r="C119" t="str">
            <v>Pactos de Retrocompra</v>
          </cell>
        </row>
        <row r="120">
          <cell r="A120">
            <v>201943663</v>
          </cell>
          <cell r="B120">
            <v>1101003</v>
          </cell>
          <cell r="C120" t="str">
            <v>Cuotas de Fondos Mutuos</v>
          </cell>
        </row>
        <row r="121">
          <cell r="A121">
            <v>201943664</v>
          </cell>
          <cell r="B121">
            <v>1101004</v>
          </cell>
          <cell r="C121" t="str">
            <v>Bonos o Pagares</v>
          </cell>
        </row>
        <row r="122">
          <cell r="A122">
            <v>201943665</v>
          </cell>
          <cell r="B122">
            <v>1101005</v>
          </cell>
          <cell r="C122" t="str">
            <v>Letras Hipotecarias</v>
          </cell>
        </row>
        <row r="123">
          <cell r="A123">
            <v>201943666</v>
          </cell>
          <cell r="B123">
            <v>1101999</v>
          </cell>
          <cell r="C123" t="str">
            <v>Otros</v>
          </cell>
        </row>
        <row r="124">
          <cell r="A124">
            <v>201943667</v>
          </cell>
          <cell r="B124">
            <v>1102</v>
          </cell>
          <cell r="C124" t="str">
            <v>Venta de Acciones y Participaciones de Capital</v>
          </cell>
        </row>
        <row r="125">
          <cell r="A125">
            <v>201943668</v>
          </cell>
          <cell r="B125">
            <v>1103</v>
          </cell>
          <cell r="C125" t="str">
            <v>Operaciones de Cambio</v>
          </cell>
        </row>
        <row r="126">
          <cell r="A126">
            <v>201943669</v>
          </cell>
          <cell r="B126">
            <v>1199</v>
          </cell>
          <cell r="C126" t="str">
            <v>Otros Activos Financieros</v>
          </cell>
        </row>
        <row r="127">
          <cell r="A127">
            <v>201943670</v>
          </cell>
          <cell r="B127">
            <v>12</v>
          </cell>
          <cell r="C127" t="str">
            <v>RECUPERACION DE PRESTAMOS</v>
          </cell>
        </row>
        <row r="128">
          <cell r="A128">
            <v>201943671</v>
          </cell>
          <cell r="B128">
            <v>1201</v>
          </cell>
          <cell r="C128" t="str">
            <v>De Asistencia Social</v>
          </cell>
        </row>
        <row r="129">
          <cell r="A129">
            <v>201943672</v>
          </cell>
          <cell r="B129">
            <v>1202</v>
          </cell>
          <cell r="C129" t="str">
            <v>Hipotecarios</v>
          </cell>
        </row>
        <row r="130">
          <cell r="A130">
            <v>201943673</v>
          </cell>
          <cell r="B130">
            <v>1203</v>
          </cell>
          <cell r="C130" t="str">
            <v>Pignoraticios</v>
          </cell>
        </row>
        <row r="131">
          <cell r="A131">
            <v>201943674</v>
          </cell>
          <cell r="B131">
            <v>1204</v>
          </cell>
          <cell r="C131" t="str">
            <v>De Fomento</v>
          </cell>
        </row>
        <row r="132">
          <cell r="A132">
            <v>201943675</v>
          </cell>
          <cell r="B132">
            <v>1205</v>
          </cell>
          <cell r="C132" t="str">
            <v>Medicos</v>
          </cell>
        </row>
        <row r="133">
          <cell r="A133">
            <v>201943676</v>
          </cell>
          <cell r="B133">
            <v>1206</v>
          </cell>
          <cell r="C133" t="str">
            <v>Por Anticipos a Contratistas</v>
          </cell>
        </row>
        <row r="134">
          <cell r="A134">
            <v>201943677</v>
          </cell>
          <cell r="B134">
            <v>1207</v>
          </cell>
          <cell r="C134" t="str">
            <v>Por Anticipos por Cambio de Residencia</v>
          </cell>
        </row>
        <row r="135">
          <cell r="A135">
            <v>201943678</v>
          </cell>
          <cell r="B135">
            <v>1209</v>
          </cell>
          <cell r="C135" t="str">
            <v>Por Ventas a Plazo</v>
          </cell>
        </row>
        <row r="136">
          <cell r="A136">
            <v>201943679</v>
          </cell>
          <cell r="B136">
            <v>1210</v>
          </cell>
          <cell r="C136" t="str">
            <v>Ingresos por Percibir</v>
          </cell>
        </row>
        <row r="137">
          <cell r="A137">
            <v>201943680</v>
          </cell>
          <cell r="B137">
            <v>13</v>
          </cell>
          <cell r="C137" t="str">
            <v>TRANSFERENCIAS PARA GASTOS DE CAPITAL</v>
          </cell>
        </row>
        <row r="138">
          <cell r="A138">
            <v>201943681</v>
          </cell>
          <cell r="B138">
            <v>1301</v>
          </cell>
          <cell r="C138" t="str">
            <v>Del Sector Privado</v>
          </cell>
        </row>
        <row r="139">
          <cell r="A139">
            <v>201943682</v>
          </cell>
          <cell r="B139">
            <v>1302</v>
          </cell>
          <cell r="C139" t="str">
            <v>Del Gobierno Central</v>
          </cell>
        </row>
        <row r="140">
          <cell r="A140">
            <v>201944576</v>
          </cell>
          <cell r="B140">
            <v>1302006</v>
          </cell>
          <cell r="C140" t="str">
            <v>Subsecretaria de Educacion</v>
          </cell>
        </row>
        <row r="141">
          <cell r="A141">
            <v>201946402</v>
          </cell>
          <cell r="B141">
            <v>1302080</v>
          </cell>
          <cell r="C141" t="str">
            <v>Tesoro Publico Ley N20.378 - Fondo De Apoyo Regional (FAR)</v>
          </cell>
        </row>
        <row r="142">
          <cell r="A142">
            <v>201947078</v>
          </cell>
          <cell r="B142">
            <v>1302113</v>
          </cell>
          <cell r="C142" t="str">
            <v>Subsecretaria de Desarrollo Regional y Administrativo - Programa 05</v>
          </cell>
        </row>
        <row r="143">
          <cell r="A143">
            <v>201947128</v>
          </cell>
          <cell r="B143">
            <v>1302114</v>
          </cell>
          <cell r="C143" t="str">
            <v>Gobierno Regional del Bio Bio - Programa 02</v>
          </cell>
        </row>
        <row r="144">
          <cell r="A144">
            <v>201947133</v>
          </cell>
          <cell r="B144">
            <v>1302115</v>
          </cell>
          <cell r="C144" t="str">
            <v>Gobierno Regional Region IX Araucania - Programa 02</v>
          </cell>
        </row>
        <row r="145">
          <cell r="A145">
            <v>201943683</v>
          </cell>
          <cell r="B145">
            <v>1303</v>
          </cell>
          <cell r="C145" t="str">
            <v>De Otras Entidades Publicas</v>
          </cell>
        </row>
        <row r="146">
          <cell r="A146">
            <v>201943684</v>
          </cell>
          <cell r="B146">
            <v>1304</v>
          </cell>
          <cell r="C146" t="str">
            <v>De Empresas Publicas no Financieras</v>
          </cell>
        </row>
        <row r="147">
          <cell r="A147">
            <v>201943685</v>
          </cell>
          <cell r="B147">
            <v>1305</v>
          </cell>
          <cell r="C147" t="str">
            <v>De Empresas Publicas Financieras</v>
          </cell>
        </row>
        <row r="148">
          <cell r="A148">
            <v>201943686</v>
          </cell>
          <cell r="B148">
            <v>1306</v>
          </cell>
          <cell r="C148" t="str">
            <v>De Gobiernos Extranjeros</v>
          </cell>
        </row>
        <row r="149">
          <cell r="A149">
            <v>201947162</v>
          </cell>
          <cell r="B149">
            <v>1306001</v>
          </cell>
          <cell r="C149" t="str">
            <v>Del Gobierno Espanol - Instituto de Credito Oficial de Espana</v>
          </cell>
        </row>
        <row r="150">
          <cell r="A150">
            <v>201943687</v>
          </cell>
          <cell r="B150">
            <v>1307</v>
          </cell>
          <cell r="C150" t="str">
            <v>De Organismos Internacionales</v>
          </cell>
        </row>
        <row r="151">
          <cell r="A151">
            <v>201943688</v>
          </cell>
          <cell r="B151">
            <v>14</v>
          </cell>
          <cell r="C151" t="str">
            <v>ENDEUDAMIENTO</v>
          </cell>
        </row>
        <row r="152">
          <cell r="A152">
            <v>201943689</v>
          </cell>
          <cell r="B152">
            <v>1401</v>
          </cell>
          <cell r="C152" t="str">
            <v>Endeudamiento Interno</v>
          </cell>
        </row>
        <row r="153">
          <cell r="A153">
            <v>201943690</v>
          </cell>
          <cell r="B153">
            <v>1401001</v>
          </cell>
          <cell r="C153" t="str">
            <v>Colocacion de Valores</v>
          </cell>
        </row>
        <row r="154">
          <cell r="A154">
            <v>201943691</v>
          </cell>
          <cell r="B154">
            <v>1401002</v>
          </cell>
          <cell r="C154" t="str">
            <v>Emprestitos</v>
          </cell>
        </row>
        <row r="155">
          <cell r="A155">
            <v>201943692</v>
          </cell>
          <cell r="B155">
            <v>1401003</v>
          </cell>
          <cell r="C155" t="str">
            <v>Creditos de Proveedores</v>
          </cell>
        </row>
        <row r="156">
          <cell r="A156">
            <v>201943693</v>
          </cell>
          <cell r="B156">
            <v>1402</v>
          </cell>
          <cell r="C156" t="str">
            <v>Endeudamiento Externo</v>
          </cell>
        </row>
        <row r="157">
          <cell r="A157">
            <v>201943694</v>
          </cell>
          <cell r="B157">
            <v>1402001</v>
          </cell>
          <cell r="C157" t="str">
            <v>Colocacion de Valores</v>
          </cell>
        </row>
        <row r="158">
          <cell r="A158">
            <v>201943695</v>
          </cell>
          <cell r="B158">
            <v>1402002</v>
          </cell>
          <cell r="C158" t="str">
            <v>Emprestitos</v>
          </cell>
        </row>
        <row r="159">
          <cell r="A159">
            <v>201943696</v>
          </cell>
          <cell r="B159">
            <v>1402003</v>
          </cell>
          <cell r="C159" t="str">
            <v>Creditos de Proveedores</v>
          </cell>
        </row>
        <row r="160">
          <cell r="A160">
            <v>201943697</v>
          </cell>
          <cell r="B160">
            <v>15</v>
          </cell>
          <cell r="C160" t="str">
            <v>SALDO INICIAL DE CAJA</v>
          </cell>
        </row>
        <row r="161">
          <cell r="A161">
            <v>201943698</v>
          </cell>
          <cell r="B161">
            <v>21</v>
          </cell>
          <cell r="C161" t="str">
            <v>GASTOS EN PERSONAL</v>
          </cell>
        </row>
        <row r="162">
          <cell r="A162">
            <v>201943699</v>
          </cell>
          <cell r="B162">
            <v>2101</v>
          </cell>
          <cell r="C162" t="str">
            <v>Personal de Planta</v>
          </cell>
        </row>
        <row r="163">
          <cell r="A163">
            <v>201943700</v>
          </cell>
          <cell r="B163">
            <v>2101001</v>
          </cell>
          <cell r="C163" t="str">
            <v>Sueldos y Sobresueldos</v>
          </cell>
        </row>
        <row r="164">
          <cell r="A164">
            <v>201943701</v>
          </cell>
          <cell r="B164">
            <v>2101001001</v>
          </cell>
          <cell r="C164" t="str">
            <v>Sueldos Bases</v>
          </cell>
        </row>
        <row r="165">
          <cell r="A165">
            <v>201943702</v>
          </cell>
          <cell r="B165">
            <v>2101001002</v>
          </cell>
          <cell r="C165" t="str">
            <v>Asignacion de Antigedad</v>
          </cell>
        </row>
        <row r="166">
          <cell r="A166">
            <v>201943703</v>
          </cell>
          <cell r="B166">
            <v>2101001003</v>
          </cell>
          <cell r="C166" t="str">
            <v>Asignacion Profesional</v>
          </cell>
        </row>
        <row r="167">
          <cell r="A167">
            <v>201943704</v>
          </cell>
          <cell r="B167">
            <v>2101001004</v>
          </cell>
          <cell r="C167" t="str">
            <v>Asignacion de Zona</v>
          </cell>
        </row>
        <row r="168">
          <cell r="A168">
            <v>201943705</v>
          </cell>
          <cell r="B168">
            <v>2101001005</v>
          </cell>
          <cell r="C168" t="str">
            <v>Asignacion de Rancho</v>
          </cell>
        </row>
        <row r="169">
          <cell r="A169">
            <v>201943706</v>
          </cell>
          <cell r="B169">
            <v>2101001006</v>
          </cell>
          <cell r="C169" t="str">
            <v>Asignaciones del DL N 2.411, de 1978</v>
          </cell>
        </row>
        <row r="170">
          <cell r="A170">
            <v>201943707</v>
          </cell>
          <cell r="B170">
            <v>2101001007</v>
          </cell>
          <cell r="C170" t="str">
            <v>Asignaciones del DL N 3.551, de 1981</v>
          </cell>
        </row>
        <row r="171">
          <cell r="A171">
            <v>201943708</v>
          </cell>
          <cell r="B171">
            <v>2101001008</v>
          </cell>
          <cell r="C171" t="str">
            <v>Asignacion de Nivelacion</v>
          </cell>
        </row>
        <row r="172">
          <cell r="A172">
            <v>201943709</v>
          </cell>
          <cell r="B172">
            <v>2101001009</v>
          </cell>
          <cell r="C172" t="str">
            <v>Asignaciones Especiales</v>
          </cell>
        </row>
        <row r="173">
          <cell r="A173">
            <v>201943710</v>
          </cell>
          <cell r="B173">
            <v>2101001010</v>
          </cell>
          <cell r="C173" t="str">
            <v>Asignacion de Perdida de Caja</v>
          </cell>
        </row>
        <row r="174">
          <cell r="A174">
            <v>201943711</v>
          </cell>
          <cell r="B174">
            <v>2101001011</v>
          </cell>
          <cell r="C174" t="str">
            <v>Asignacion de Movilizacion</v>
          </cell>
        </row>
        <row r="175">
          <cell r="A175">
            <v>201943712</v>
          </cell>
          <cell r="B175">
            <v>2101001012</v>
          </cell>
          <cell r="C175" t="str">
            <v>Gastos de Representacion</v>
          </cell>
        </row>
        <row r="176">
          <cell r="A176">
            <v>201943713</v>
          </cell>
          <cell r="B176">
            <v>2101001013</v>
          </cell>
          <cell r="C176" t="str">
            <v>Asignacion de Direccion Superior</v>
          </cell>
        </row>
        <row r="177">
          <cell r="A177">
            <v>201943714</v>
          </cell>
          <cell r="B177">
            <v>2101001014</v>
          </cell>
          <cell r="C177" t="str">
            <v>Asignaciones Compensatorias</v>
          </cell>
        </row>
        <row r="178">
          <cell r="A178">
            <v>201943715</v>
          </cell>
          <cell r="B178">
            <v>2101001015</v>
          </cell>
          <cell r="C178" t="str">
            <v>Asignaciones Sustitutivas</v>
          </cell>
        </row>
        <row r="179">
          <cell r="A179">
            <v>201943716</v>
          </cell>
          <cell r="B179">
            <v>2101001016</v>
          </cell>
          <cell r="C179" t="str">
            <v>Asignacion de Dedicacion Exclusiva</v>
          </cell>
        </row>
        <row r="180">
          <cell r="A180">
            <v>201943717</v>
          </cell>
          <cell r="B180">
            <v>2101001017</v>
          </cell>
          <cell r="C180" t="str">
            <v>Asignacion para Operador de Maquinaria Pesada</v>
          </cell>
        </row>
        <row r="181">
          <cell r="A181">
            <v>201943718</v>
          </cell>
          <cell r="B181">
            <v>2101001018</v>
          </cell>
          <cell r="C181" t="str">
            <v>Asignacion de Defensa Judicial Estatal</v>
          </cell>
        </row>
        <row r="182">
          <cell r="A182">
            <v>201943719</v>
          </cell>
          <cell r="B182">
            <v>2101001019</v>
          </cell>
          <cell r="C182" t="str">
            <v>Asignacion de Responsabilidad</v>
          </cell>
        </row>
        <row r="183">
          <cell r="A183">
            <v>201943720</v>
          </cell>
          <cell r="B183">
            <v>2101001020</v>
          </cell>
          <cell r="C183" t="str">
            <v>Asignacion por Turno</v>
          </cell>
        </row>
        <row r="184">
          <cell r="A184">
            <v>201943721</v>
          </cell>
          <cell r="B184">
            <v>2101001021</v>
          </cell>
          <cell r="C184" t="str">
            <v>Asignacion Articulo 1 Ley N 19.264</v>
          </cell>
        </row>
        <row r="185">
          <cell r="A185">
            <v>201943722</v>
          </cell>
          <cell r="B185">
            <v>2101001022</v>
          </cell>
          <cell r="C185" t="str">
            <v>Componente Base Asignacion de Desempeno</v>
          </cell>
        </row>
        <row r="186">
          <cell r="A186">
            <v>201943723</v>
          </cell>
          <cell r="B186">
            <v>2101001023</v>
          </cell>
          <cell r="C186" t="str">
            <v>Asignacion de Control</v>
          </cell>
        </row>
        <row r="187">
          <cell r="A187">
            <v>201943724</v>
          </cell>
          <cell r="B187">
            <v>2101001024</v>
          </cell>
          <cell r="C187" t="str">
            <v>Asignacion de Defensa Penal Publica</v>
          </cell>
        </row>
        <row r="188">
          <cell r="A188">
            <v>201943725</v>
          </cell>
          <cell r="B188">
            <v>2101001025</v>
          </cell>
          <cell r="C188" t="str">
            <v>Asignacion Articulo 1 Ley N 19. 112</v>
          </cell>
        </row>
        <row r="189">
          <cell r="A189">
            <v>201943726</v>
          </cell>
          <cell r="B189">
            <v>2101001026</v>
          </cell>
          <cell r="C189" t="str">
            <v>Asignacion Articulo 1 Ley N 19.432</v>
          </cell>
        </row>
        <row r="190">
          <cell r="A190">
            <v>201943727</v>
          </cell>
          <cell r="B190">
            <v>2101001027</v>
          </cell>
          <cell r="C190" t="str">
            <v>Asignacion de Estimulo Personal Medico Diurno</v>
          </cell>
        </row>
        <row r="191">
          <cell r="A191">
            <v>201943728</v>
          </cell>
          <cell r="B191">
            <v>2101001028</v>
          </cell>
          <cell r="C191" t="str">
            <v>Asignacion de Estimulo Personal Medico y Profesores</v>
          </cell>
        </row>
        <row r="192">
          <cell r="A192">
            <v>201943729</v>
          </cell>
          <cell r="B192">
            <v>2101001029</v>
          </cell>
          <cell r="C192" t="str">
            <v>Aplicacion Articulo 7 Ley N 19.112</v>
          </cell>
        </row>
        <row r="193">
          <cell r="A193">
            <v>201943730</v>
          </cell>
          <cell r="B193">
            <v>2101001030</v>
          </cell>
          <cell r="C193" t="str">
            <v>Asignacion de Estimulo por Falencia</v>
          </cell>
        </row>
        <row r="194">
          <cell r="A194">
            <v>201943731</v>
          </cell>
          <cell r="B194">
            <v>2101001031</v>
          </cell>
          <cell r="C194" t="str">
            <v>Asignacion de Experiencia Calificada</v>
          </cell>
        </row>
        <row r="195">
          <cell r="A195">
            <v>201943732</v>
          </cell>
          <cell r="B195">
            <v>2101001032</v>
          </cell>
          <cell r="C195" t="str">
            <v>Asignacion de Reforzamiento Profesional Diurno</v>
          </cell>
        </row>
        <row r="196">
          <cell r="A196">
            <v>201943733</v>
          </cell>
          <cell r="B196">
            <v>2101001033</v>
          </cell>
          <cell r="C196" t="str">
            <v>Asignacion Judicial</v>
          </cell>
        </row>
        <row r="197">
          <cell r="A197">
            <v>201943734</v>
          </cell>
          <cell r="B197">
            <v>2101001034</v>
          </cell>
          <cell r="C197" t="str">
            <v>Asignacion de Casa</v>
          </cell>
        </row>
        <row r="198">
          <cell r="A198">
            <v>201943735</v>
          </cell>
          <cell r="B198">
            <v>2101001035</v>
          </cell>
          <cell r="C198" t="str">
            <v>Asignacion Legislativa</v>
          </cell>
        </row>
        <row r="199">
          <cell r="A199">
            <v>201943736</v>
          </cell>
          <cell r="B199">
            <v>2101001036</v>
          </cell>
          <cell r="C199" t="str">
            <v>Asignacion Articulo 11 Ley N 19.041</v>
          </cell>
        </row>
        <row r="200">
          <cell r="A200">
            <v>201943737</v>
          </cell>
          <cell r="B200">
            <v>2101001037</v>
          </cell>
          <cell r="C200" t="str">
            <v>Asignacion nica</v>
          </cell>
        </row>
        <row r="201">
          <cell r="A201">
            <v>201943738</v>
          </cell>
          <cell r="B201">
            <v>2101001038</v>
          </cell>
          <cell r="C201" t="str">
            <v>Asignacion Zonas Extremas</v>
          </cell>
        </row>
        <row r="202">
          <cell r="A202">
            <v>201943739</v>
          </cell>
          <cell r="B202">
            <v>2101001039</v>
          </cell>
          <cell r="C202" t="str">
            <v>Asignacion de Responsabilidad Superior</v>
          </cell>
        </row>
        <row r="203">
          <cell r="A203">
            <v>201943740</v>
          </cell>
          <cell r="B203">
            <v>2101001040</v>
          </cell>
          <cell r="C203" t="str">
            <v>Asignacion Familiar en el Exterior</v>
          </cell>
        </row>
        <row r="204">
          <cell r="A204">
            <v>201943741</v>
          </cell>
          <cell r="B204">
            <v>2101001041</v>
          </cell>
          <cell r="C204" t="str">
            <v>Asignaciones Exclusivas de las Fuerzas Armadas y de Orden</v>
          </cell>
        </row>
        <row r="205">
          <cell r="A205">
            <v>201943742</v>
          </cell>
          <cell r="B205">
            <v>2101001042</v>
          </cell>
          <cell r="C205" t="str">
            <v>Asignaciones por Desempeno en el Exterior</v>
          </cell>
        </row>
        <row r="206">
          <cell r="A206">
            <v>201943743</v>
          </cell>
          <cell r="B206">
            <v>2101001043</v>
          </cell>
          <cell r="C206" t="str">
            <v>Asignacion Inherente al Cargo Ley N 18.695</v>
          </cell>
        </row>
        <row r="207">
          <cell r="A207">
            <v>201943744</v>
          </cell>
          <cell r="B207">
            <v>2101001999</v>
          </cell>
          <cell r="C207" t="str">
            <v>Otras Asignaciones</v>
          </cell>
        </row>
        <row r="208">
          <cell r="A208">
            <v>201943745</v>
          </cell>
          <cell r="B208">
            <v>2101002</v>
          </cell>
          <cell r="C208" t="str">
            <v>Aportes del Empleador</v>
          </cell>
        </row>
        <row r="209">
          <cell r="A209">
            <v>201943746</v>
          </cell>
          <cell r="B209">
            <v>2101002001</v>
          </cell>
          <cell r="C209" t="str">
            <v>A Servicios de Bienestar</v>
          </cell>
        </row>
        <row r="210">
          <cell r="A210">
            <v>201943747</v>
          </cell>
          <cell r="B210">
            <v>2101002002</v>
          </cell>
          <cell r="C210" t="str">
            <v>Otras Cotizaciones Previsionales</v>
          </cell>
        </row>
        <row r="211">
          <cell r="A211">
            <v>201943748</v>
          </cell>
          <cell r="B211">
            <v>2101002003</v>
          </cell>
          <cell r="C211" t="str">
            <v>Cotizacion Adicional, Articulo 8 Ley N 18.566</v>
          </cell>
        </row>
        <row r="212">
          <cell r="A212">
            <v>201943749</v>
          </cell>
          <cell r="B212">
            <v>2101003</v>
          </cell>
          <cell r="C212" t="str">
            <v>Asignaciones por Desempeno</v>
          </cell>
        </row>
        <row r="213">
          <cell r="A213">
            <v>201943750</v>
          </cell>
          <cell r="B213">
            <v>2101003001</v>
          </cell>
          <cell r="C213" t="str">
            <v>Desempeno Institucional</v>
          </cell>
        </row>
        <row r="214">
          <cell r="A214">
            <v>201943751</v>
          </cell>
          <cell r="B214">
            <v>2101003002</v>
          </cell>
          <cell r="C214" t="str">
            <v>Desempeno Colectivo</v>
          </cell>
        </row>
        <row r="215">
          <cell r="A215">
            <v>201943752</v>
          </cell>
          <cell r="B215">
            <v>2101003003</v>
          </cell>
          <cell r="C215" t="str">
            <v>Desempeno Individual</v>
          </cell>
        </row>
        <row r="216">
          <cell r="A216">
            <v>201947065</v>
          </cell>
          <cell r="B216">
            <v>2101003004</v>
          </cell>
          <cell r="C216" t="str">
            <v>Asignacion por Produccion</v>
          </cell>
        </row>
        <row r="217">
          <cell r="A217">
            <v>201947066</v>
          </cell>
          <cell r="B217">
            <v>2101003005</v>
          </cell>
          <cell r="C217" t="str">
            <v>Asignacion Mejoramiento de Trato a los Usuarios</v>
          </cell>
        </row>
        <row r="218">
          <cell r="A218">
            <v>201943753</v>
          </cell>
          <cell r="B218">
            <v>2101004</v>
          </cell>
          <cell r="C218" t="str">
            <v>Remuneraciones Variables</v>
          </cell>
        </row>
        <row r="219">
          <cell r="A219">
            <v>201943754</v>
          </cell>
          <cell r="B219">
            <v>2101004001</v>
          </cell>
          <cell r="C219" t="str">
            <v>Asignacion Articulo 12 Ley N 19.041</v>
          </cell>
        </row>
        <row r="220">
          <cell r="A220">
            <v>201943755</v>
          </cell>
          <cell r="B220">
            <v>2101004002</v>
          </cell>
          <cell r="C220" t="str">
            <v>Asignacion de Estimulo Jornadas Prioritarias</v>
          </cell>
        </row>
        <row r="221">
          <cell r="A221">
            <v>201943756</v>
          </cell>
          <cell r="B221">
            <v>2101004003</v>
          </cell>
          <cell r="C221" t="str">
            <v>Asignacion Articulo 3 Ley N 19.264</v>
          </cell>
        </row>
        <row r="222">
          <cell r="A222">
            <v>201943757</v>
          </cell>
          <cell r="B222">
            <v>2101004004</v>
          </cell>
          <cell r="C222" t="str">
            <v>Asignacion por Desempeno de Funciones Criticas</v>
          </cell>
        </row>
        <row r="223">
          <cell r="A223">
            <v>201943758</v>
          </cell>
          <cell r="B223">
            <v>2101004005</v>
          </cell>
          <cell r="C223" t="str">
            <v>Trabajos Extraordinarios</v>
          </cell>
        </row>
        <row r="224">
          <cell r="A224">
            <v>201943759</v>
          </cell>
          <cell r="B224">
            <v>2101004006</v>
          </cell>
          <cell r="C224" t="str">
            <v>Comisiones de Servicios en el Pais</v>
          </cell>
        </row>
        <row r="225">
          <cell r="A225">
            <v>201943760</v>
          </cell>
          <cell r="B225">
            <v>2101004007</v>
          </cell>
          <cell r="C225" t="str">
            <v>Comisiones de Servicios en el Exterior</v>
          </cell>
        </row>
        <row r="226">
          <cell r="A226">
            <v>201943761</v>
          </cell>
          <cell r="B226">
            <v>2101005</v>
          </cell>
          <cell r="C226" t="str">
            <v>Aguinaldos y Bonos</v>
          </cell>
        </row>
        <row r="227">
          <cell r="A227">
            <v>201943762</v>
          </cell>
          <cell r="B227">
            <v>2101005001</v>
          </cell>
          <cell r="C227" t="str">
            <v>Aguinaldos</v>
          </cell>
        </row>
        <row r="228">
          <cell r="A228">
            <v>201943763</v>
          </cell>
          <cell r="B228">
            <v>2101005002</v>
          </cell>
          <cell r="C228" t="str">
            <v>Bono de Escolaridad</v>
          </cell>
        </row>
        <row r="229">
          <cell r="A229">
            <v>201943764</v>
          </cell>
          <cell r="B229">
            <v>2101005003</v>
          </cell>
          <cell r="C229" t="str">
            <v>Bonos Especiales</v>
          </cell>
        </row>
        <row r="230">
          <cell r="A230">
            <v>201943765</v>
          </cell>
          <cell r="B230">
            <v>2101005004</v>
          </cell>
          <cell r="C230" t="str">
            <v>Bonificacion Adicional al Bono de Escolaridad</v>
          </cell>
        </row>
        <row r="231">
          <cell r="A231">
            <v>201943766</v>
          </cell>
          <cell r="B231">
            <v>2102</v>
          </cell>
          <cell r="C231" t="str">
            <v>Personal a Contrata</v>
          </cell>
        </row>
        <row r="232">
          <cell r="A232">
            <v>201943767</v>
          </cell>
          <cell r="B232">
            <v>2102001</v>
          </cell>
          <cell r="C232" t="str">
            <v>Sueldos y Sobresueldos</v>
          </cell>
        </row>
        <row r="233">
          <cell r="A233">
            <v>201943768</v>
          </cell>
          <cell r="B233">
            <v>2102001001</v>
          </cell>
          <cell r="C233" t="str">
            <v>Sueldos Bases</v>
          </cell>
        </row>
        <row r="234">
          <cell r="A234">
            <v>201943769</v>
          </cell>
          <cell r="B234">
            <v>2102001002</v>
          </cell>
          <cell r="C234" t="str">
            <v>Asignacion de Antigedad</v>
          </cell>
        </row>
        <row r="235">
          <cell r="A235">
            <v>201943770</v>
          </cell>
          <cell r="B235">
            <v>2102001003</v>
          </cell>
          <cell r="C235" t="str">
            <v>Asignacion Profesional</v>
          </cell>
        </row>
        <row r="236">
          <cell r="A236">
            <v>201943771</v>
          </cell>
          <cell r="B236">
            <v>2102001004</v>
          </cell>
          <cell r="C236" t="str">
            <v>Asignacion de Zona</v>
          </cell>
        </row>
        <row r="237">
          <cell r="A237">
            <v>201943772</v>
          </cell>
          <cell r="B237">
            <v>2102001005</v>
          </cell>
          <cell r="C237" t="str">
            <v>Asignacion de Rancho</v>
          </cell>
        </row>
        <row r="238">
          <cell r="A238">
            <v>201943773</v>
          </cell>
          <cell r="B238">
            <v>2102001006</v>
          </cell>
          <cell r="C238" t="str">
            <v>Asignaciones del DL N 2.411, de 1978</v>
          </cell>
        </row>
        <row r="239">
          <cell r="A239">
            <v>201943774</v>
          </cell>
          <cell r="B239">
            <v>2102001007</v>
          </cell>
          <cell r="C239" t="str">
            <v>Asignaciones del DL N 3.551, de 1981</v>
          </cell>
        </row>
        <row r="240">
          <cell r="A240">
            <v>201943775</v>
          </cell>
          <cell r="B240">
            <v>2102001008</v>
          </cell>
          <cell r="C240" t="str">
            <v>Asignacion de Nivelacion</v>
          </cell>
        </row>
        <row r="241">
          <cell r="A241">
            <v>201943776</v>
          </cell>
          <cell r="B241">
            <v>2102001009</v>
          </cell>
          <cell r="C241" t="str">
            <v>Asignaciones Especiales</v>
          </cell>
        </row>
        <row r="242">
          <cell r="A242">
            <v>201943777</v>
          </cell>
          <cell r="B242">
            <v>2102001010</v>
          </cell>
          <cell r="C242" t="str">
            <v>Asignacion de Perdida de Caja</v>
          </cell>
        </row>
        <row r="243">
          <cell r="A243">
            <v>201943778</v>
          </cell>
          <cell r="B243">
            <v>2102001011</v>
          </cell>
          <cell r="C243" t="str">
            <v>Asignacion de Movilizacion</v>
          </cell>
        </row>
        <row r="244">
          <cell r="A244">
            <v>201943779</v>
          </cell>
          <cell r="B244">
            <v>2102001012</v>
          </cell>
          <cell r="C244" t="str">
            <v>Gastos de Representacion</v>
          </cell>
        </row>
        <row r="245">
          <cell r="A245">
            <v>201943780</v>
          </cell>
          <cell r="B245">
            <v>2102001013</v>
          </cell>
          <cell r="C245" t="str">
            <v>Asignaciones Compensatorias</v>
          </cell>
        </row>
        <row r="246">
          <cell r="A246">
            <v>201943781</v>
          </cell>
          <cell r="B246">
            <v>2102001014</v>
          </cell>
          <cell r="C246" t="str">
            <v>Asignaciones Sustitutivas</v>
          </cell>
        </row>
        <row r="247">
          <cell r="A247">
            <v>201943782</v>
          </cell>
          <cell r="B247">
            <v>2102001015</v>
          </cell>
          <cell r="C247" t="str">
            <v>Asignacion de Dedicacion Exclusiva</v>
          </cell>
        </row>
        <row r="248">
          <cell r="A248">
            <v>201943783</v>
          </cell>
          <cell r="B248">
            <v>2102001016</v>
          </cell>
          <cell r="C248" t="str">
            <v>Asignacion para Operador de Maquinaria Pesada</v>
          </cell>
        </row>
        <row r="249">
          <cell r="A249">
            <v>201943784</v>
          </cell>
          <cell r="B249">
            <v>2102001017</v>
          </cell>
          <cell r="C249" t="str">
            <v>Asignacion de Defensa Judicial Estatal</v>
          </cell>
        </row>
        <row r="250">
          <cell r="A250">
            <v>201943785</v>
          </cell>
          <cell r="B250">
            <v>2102001018</v>
          </cell>
          <cell r="C250" t="str">
            <v>Asignacion de Responsabilidad</v>
          </cell>
        </row>
        <row r="251">
          <cell r="A251">
            <v>201943786</v>
          </cell>
          <cell r="B251">
            <v>2102001019</v>
          </cell>
          <cell r="C251" t="str">
            <v>Asignacion por Turno</v>
          </cell>
        </row>
        <row r="252">
          <cell r="A252">
            <v>201943787</v>
          </cell>
          <cell r="B252">
            <v>2102001020</v>
          </cell>
          <cell r="C252" t="str">
            <v>Asignacion Articulo 1 Ley N 19.264</v>
          </cell>
        </row>
        <row r="253">
          <cell r="A253">
            <v>201943788</v>
          </cell>
          <cell r="B253">
            <v>2102001021</v>
          </cell>
          <cell r="C253" t="str">
            <v>Componente Base Asignacion de Desempeno</v>
          </cell>
        </row>
        <row r="254">
          <cell r="A254">
            <v>201943789</v>
          </cell>
          <cell r="B254">
            <v>2102001022</v>
          </cell>
          <cell r="C254" t="str">
            <v>Asignacion de Control</v>
          </cell>
        </row>
        <row r="255">
          <cell r="A255">
            <v>201943790</v>
          </cell>
          <cell r="B255">
            <v>2102001023</v>
          </cell>
          <cell r="C255" t="str">
            <v>Asignacion de Defensa Penal Publica</v>
          </cell>
        </row>
        <row r="256">
          <cell r="A256">
            <v>201943791</v>
          </cell>
          <cell r="B256">
            <v>2102001024</v>
          </cell>
          <cell r="C256" t="str">
            <v>Asignacion Articulo 1 Ley N 19. 112</v>
          </cell>
        </row>
        <row r="257">
          <cell r="A257">
            <v>201943792</v>
          </cell>
          <cell r="B257">
            <v>2102001025</v>
          </cell>
          <cell r="C257" t="str">
            <v>Asignacion Articulo 1 Ley N 19.432</v>
          </cell>
        </row>
        <row r="258">
          <cell r="A258">
            <v>201943793</v>
          </cell>
          <cell r="B258">
            <v>2102001026</v>
          </cell>
          <cell r="C258" t="str">
            <v>Asignacion de Estimulo Personal Medico Diurno</v>
          </cell>
        </row>
        <row r="259">
          <cell r="A259">
            <v>201943794</v>
          </cell>
          <cell r="B259">
            <v>2102001027</v>
          </cell>
          <cell r="C259" t="str">
            <v>Asignacion de Estimulo Personal Medico y Profesores</v>
          </cell>
        </row>
        <row r="260">
          <cell r="A260">
            <v>201943795</v>
          </cell>
          <cell r="B260">
            <v>2102001028</v>
          </cell>
          <cell r="C260" t="str">
            <v>Aplicacion Articulo 7 Ley N 19.112</v>
          </cell>
        </row>
        <row r="261">
          <cell r="A261">
            <v>201943796</v>
          </cell>
          <cell r="B261">
            <v>2102001029</v>
          </cell>
          <cell r="C261" t="str">
            <v>Asignacion de Estimulo por Falencia</v>
          </cell>
        </row>
        <row r="262">
          <cell r="A262">
            <v>201943797</v>
          </cell>
          <cell r="B262">
            <v>2102001030</v>
          </cell>
          <cell r="C262" t="str">
            <v>Asignacion de Experiencia Calificada</v>
          </cell>
        </row>
        <row r="263">
          <cell r="A263">
            <v>201943798</v>
          </cell>
          <cell r="B263">
            <v>2102001031</v>
          </cell>
          <cell r="C263" t="str">
            <v>Asignacion de Reforzamiento Profesional Diurno</v>
          </cell>
        </row>
        <row r="264">
          <cell r="A264">
            <v>201943799</v>
          </cell>
          <cell r="B264">
            <v>2102001032</v>
          </cell>
          <cell r="C264" t="str">
            <v>Asignacion Judicial</v>
          </cell>
        </row>
        <row r="265">
          <cell r="A265">
            <v>201943800</v>
          </cell>
          <cell r="B265">
            <v>2102001033</v>
          </cell>
          <cell r="C265" t="str">
            <v>Asignacion de Casa</v>
          </cell>
        </row>
        <row r="266">
          <cell r="A266">
            <v>201943801</v>
          </cell>
          <cell r="B266">
            <v>2102001034</v>
          </cell>
          <cell r="C266" t="str">
            <v>Asignacion Legislativa</v>
          </cell>
        </row>
        <row r="267">
          <cell r="A267">
            <v>201943802</v>
          </cell>
          <cell r="B267">
            <v>2102001035</v>
          </cell>
          <cell r="C267" t="str">
            <v>Asignacion Articulo 11 Ley N 19.041</v>
          </cell>
        </row>
        <row r="268">
          <cell r="A268">
            <v>201943803</v>
          </cell>
          <cell r="B268">
            <v>2102001036</v>
          </cell>
          <cell r="C268" t="str">
            <v>Asignacion nica</v>
          </cell>
        </row>
        <row r="269">
          <cell r="A269">
            <v>201943804</v>
          </cell>
          <cell r="B269">
            <v>2102001037</v>
          </cell>
          <cell r="C269" t="str">
            <v>Asignacion Zonas Extremas</v>
          </cell>
        </row>
        <row r="270">
          <cell r="A270">
            <v>201943805</v>
          </cell>
          <cell r="B270">
            <v>2102001038</v>
          </cell>
          <cell r="C270" t="str">
            <v>Asignacion de Responsabilidad Superior</v>
          </cell>
        </row>
        <row r="271">
          <cell r="A271">
            <v>201943806</v>
          </cell>
          <cell r="B271">
            <v>2102001039</v>
          </cell>
          <cell r="C271" t="str">
            <v>Asignacion Familiar en el Exterior</v>
          </cell>
        </row>
        <row r="272">
          <cell r="A272">
            <v>201943807</v>
          </cell>
          <cell r="B272">
            <v>2102001040</v>
          </cell>
          <cell r="C272" t="str">
            <v>Asignaciones Exclusivas de las Fuerzas Armadas y de Orden</v>
          </cell>
        </row>
        <row r="273">
          <cell r="A273">
            <v>201943808</v>
          </cell>
          <cell r="B273">
            <v>2102001041</v>
          </cell>
          <cell r="C273" t="str">
            <v>Asignaciones por Desempeno en el Exterior</v>
          </cell>
        </row>
        <row r="274">
          <cell r="A274">
            <v>201943809</v>
          </cell>
          <cell r="B274">
            <v>2102001999</v>
          </cell>
          <cell r="C274" t="str">
            <v>Otras Asignaciones</v>
          </cell>
        </row>
        <row r="275">
          <cell r="A275">
            <v>201943810</v>
          </cell>
          <cell r="B275">
            <v>2102002</v>
          </cell>
          <cell r="C275" t="str">
            <v>Aportes del Empleador</v>
          </cell>
        </row>
        <row r="276">
          <cell r="A276">
            <v>201943811</v>
          </cell>
          <cell r="B276">
            <v>2102002001</v>
          </cell>
          <cell r="C276" t="str">
            <v>A Servicios de Bienestar</v>
          </cell>
        </row>
        <row r="277">
          <cell r="A277">
            <v>201943812</v>
          </cell>
          <cell r="B277">
            <v>2102002002</v>
          </cell>
          <cell r="C277" t="str">
            <v>Otras Cotizaciones Previsionales</v>
          </cell>
        </row>
        <row r="278">
          <cell r="A278">
            <v>201943813</v>
          </cell>
          <cell r="B278">
            <v>2102002003</v>
          </cell>
          <cell r="C278" t="str">
            <v>Cotizacion Adicional, Articulo 8 Ley N 18.566</v>
          </cell>
        </row>
        <row r="279">
          <cell r="A279">
            <v>201943814</v>
          </cell>
          <cell r="B279">
            <v>2102003</v>
          </cell>
          <cell r="C279" t="str">
            <v>Asignaciones por Desempeno</v>
          </cell>
        </row>
        <row r="280">
          <cell r="A280">
            <v>201943815</v>
          </cell>
          <cell r="B280">
            <v>2102003001</v>
          </cell>
          <cell r="C280" t="str">
            <v>Desempeno Institucional</v>
          </cell>
        </row>
        <row r="281">
          <cell r="A281">
            <v>201943816</v>
          </cell>
          <cell r="B281">
            <v>2102003002</v>
          </cell>
          <cell r="C281" t="str">
            <v>Desempeno Colectivo</v>
          </cell>
        </row>
        <row r="282">
          <cell r="A282">
            <v>201943817</v>
          </cell>
          <cell r="B282">
            <v>2102003003</v>
          </cell>
          <cell r="C282" t="str">
            <v>Desempeno Individual</v>
          </cell>
        </row>
        <row r="283">
          <cell r="A283">
            <v>201947067</v>
          </cell>
          <cell r="B283">
            <v>2102003004</v>
          </cell>
          <cell r="C283" t="str">
            <v>Asignacion por Produccion</v>
          </cell>
        </row>
        <row r="284">
          <cell r="A284">
            <v>201947068</v>
          </cell>
          <cell r="B284">
            <v>2102003005</v>
          </cell>
          <cell r="C284" t="str">
            <v>Asignacion Mejoramiento de Trato a los Usuarios</v>
          </cell>
        </row>
        <row r="285">
          <cell r="A285">
            <v>201943818</v>
          </cell>
          <cell r="B285">
            <v>2102004</v>
          </cell>
          <cell r="C285" t="str">
            <v>Remuneraciones Variables</v>
          </cell>
        </row>
        <row r="286">
          <cell r="A286">
            <v>201943819</v>
          </cell>
          <cell r="B286">
            <v>2102004001</v>
          </cell>
          <cell r="C286" t="str">
            <v>Asignacion Articulo 12 Ley N 19.041</v>
          </cell>
        </row>
        <row r="287">
          <cell r="A287">
            <v>201943820</v>
          </cell>
          <cell r="B287">
            <v>2102004002</v>
          </cell>
          <cell r="C287" t="str">
            <v>Asignacion de Estimulo Jornadas Prioritarias</v>
          </cell>
        </row>
        <row r="288">
          <cell r="A288">
            <v>201943821</v>
          </cell>
          <cell r="B288">
            <v>2102004003</v>
          </cell>
          <cell r="C288" t="str">
            <v>Asignacion Articulo 3 Ley N 19.264</v>
          </cell>
        </row>
        <row r="289">
          <cell r="A289">
            <v>201943822</v>
          </cell>
          <cell r="B289">
            <v>2102004004</v>
          </cell>
          <cell r="C289" t="str">
            <v>Asignacion por Desempeno de Funciones Criticas</v>
          </cell>
        </row>
        <row r="290">
          <cell r="A290">
            <v>201943823</v>
          </cell>
          <cell r="B290">
            <v>2102004005</v>
          </cell>
          <cell r="C290" t="str">
            <v>Trabajos Extraordinarios</v>
          </cell>
        </row>
        <row r="291">
          <cell r="A291">
            <v>201943824</v>
          </cell>
          <cell r="B291">
            <v>2102004006</v>
          </cell>
          <cell r="C291" t="str">
            <v>Comisiones de Servicios en el Pais</v>
          </cell>
        </row>
        <row r="292">
          <cell r="A292">
            <v>201943825</v>
          </cell>
          <cell r="B292">
            <v>2102004007</v>
          </cell>
          <cell r="C292" t="str">
            <v>Comisiones de Servicios en el Exterior</v>
          </cell>
        </row>
        <row r="293">
          <cell r="A293">
            <v>201943826</v>
          </cell>
          <cell r="B293">
            <v>2102005</v>
          </cell>
          <cell r="C293" t="str">
            <v>Aguinaldos y Bonos</v>
          </cell>
        </row>
        <row r="294">
          <cell r="A294">
            <v>201943827</v>
          </cell>
          <cell r="B294">
            <v>2102005001</v>
          </cell>
          <cell r="C294" t="str">
            <v>Aguinaldos</v>
          </cell>
        </row>
        <row r="295">
          <cell r="A295">
            <v>201943828</v>
          </cell>
          <cell r="B295">
            <v>2102005002</v>
          </cell>
          <cell r="C295" t="str">
            <v>Bono de Escolaridad</v>
          </cell>
        </row>
        <row r="296">
          <cell r="A296">
            <v>201943829</v>
          </cell>
          <cell r="B296">
            <v>2102005003</v>
          </cell>
          <cell r="C296" t="str">
            <v>Bonos Especiales</v>
          </cell>
        </row>
        <row r="297">
          <cell r="A297">
            <v>201943830</v>
          </cell>
          <cell r="B297">
            <v>2102005004</v>
          </cell>
          <cell r="C297" t="str">
            <v>Bonificacion Adicional al Bono de Escolaridad</v>
          </cell>
        </row>
        <row r="298">
          <cell r="A298">
            <v>201943831</v>
          </cell>
          <cell r="B298">
            <v>2103</v>
          </cell>
          <cell r="C298" t="str">
            <v>Otras Remuneraciones</v>
          </cell>
        </row>
        <row r="299">
          <cell r="A299">
            <v>201943832</v>
          </cell>
          <cell r="B299">
            <v>2103001</v>
          </cell>
          <cell r="C299" t="str">
            <v>Honorarios a Suma Alzada - Personas Naturales</v>
          </cell>
        </row>
        <row r="300">
          <cell r="A300">
            <v>201944570</v>
          </cell>
          <cell r="B300">
            <v>2103001001</v>
          </cell>
          <cell r="C300" t="str">
            <v>Honorarios a Suma Alzada-Honorarios</v>
          </cell>
        </row>
        <row r="301">
          <cell r="A301">
            <v>201944569</v>
          </cell>
          <cell r="B301">
            <v>2103001002</v>
          </cell>
          <cell r="C301" t="str">
            <v>Honorarios a Suma Alzada-Viaticos</v>
          </cell>
        </row>
        <row r="302">
          <cell r="A302">
            <v>201944561</v>
          </cell>
          <cell r="B302">
            <v>2103001111</v>
          </cell>
          <cell r="C302" t="str">
            <v>Honorarios AGES</v>
          </cell>
        </row>
        <row r="303">
          <cell r="A303">
            <v>201943833</v>
          </cell>
          <cell r="B303">
            <v>2103002</v>
          </cell>
          <cell r="C303" t="str">
            <v>Honorarios Asimilados a Grados</v>
          </cell>
        </row>
        <row r="304">
          <cell r="A304">
            <v>201943834</v>
          </cell>
          <cell r="B304">
            <v>2103003</v>
          </cell>
          <cell r="C304" t="str">
            <v>Jornales</v>
          </cell>
        </row>
        <row r="305">
          <cell r="A305">
            <v>201943835</v>
          </cell>
          <cell r="B305">
            <v>2103004</v>
          </cell>
          <cell r="C305" t="str">
            <v>Remuneraciones Reguladas por el Codigo del Trabajo</v>
          </cell>
        </row>
        <row r="306">
          <cell r="A306">
            <v>201943836</v>
          </cell>
          <cell r="B306">
            <v>2103005</v>
          </cell>
          <cell r="C306" t="str">
            <v>Suplencias y Reemplazos</v>
          </cell>
        </row>
        <row r="307">
          <cell r="A307">
            <v>201943837</v>
          </cell>
          <cell r="B307">
            <v>2103006</v>
          </cell>
          <cell r="C307" t="str">
            <v>Personal a Trato y/o Temporal</v>
          </cell>
        </row>
        <row r="308">
          <cell r="A308">
            <v>201943838</v>
          </cell>
          <cell r="B308">
            <v>2103007</v>
          </cell>
          <cell r="C308" t="str">
            <v>Alumnos en Practica</v>
          </cell>
        </row>
        <row r="309">
          <cell r="A309">
            <v>201943839</v>
          </cell>
          <cell r="B309">
            <v>2103999</v>
          </cell>
          <cell r="C309" t="str">
            <v>Otras</v>
          </cell>
        </row>
        <row r="310">
          <cell r="A310">
            <v>201943840</v>
          </cell>
          <cell r="B310">
            <v>2104</v>
          </cell>
          <cell r="C310" t="str">
            <v>Otros Gastos en Personal</v>
          </cell>
        </row>
        <row r="311">
          <cell r="A311">
            <v>201943841</v>
          </cell>
          <cell r="B311">
            <v>2104001</v>
          </cell>
          <cell r="C311" t="str">
            <v>Asignacion de Traslado</v>
          </cell>
        </row>
        <row r="312">
          <cell r="A312">
            <v>201943842</v>
          </cell>
          <cell r="B312">
            <v>2104002</v>
          </cell>
          <cell r="C312" t="str">
            <v>Dieta Parlamentaria</v>
          </cell>
        </row>
        <row r="313">
          <cell r="A313">
            <v>201943843</v>
          </cell>
          <cell r="B313">
            <v>2104003</v>
          </cell>
          <cell r="C313" t="str">
            <v>Dietas a Juntas, Consejos y Comisiones</v>
          </cell>
        </row>
        <row r="314">
          <cell r="A314">
            <v>201943844</v>
          </cell>
          <cell r="B314">
            <v>22</v>
          </cell>
          <cell r="C314" t="str">
            <v>BIENES Y SERVICIOS DE CONSUMO</v>
          </cell>
        </row>
        <row r="315">
          <cell r="A315">
            <v>201943845</v>
          </cell>
          <cell r="B315">
            <v>2201</v>
          </cell>
          <cell r="C315" t="str">
            <v>Alimentos y Bebidas</v>
          </cell>
        </row>
        <row r="316">
          <cell r="A316">
            <v>201943846</v>
          </cell>
          <cell r="B316">
            <v>2201001</v>
          </cell>
          <cell r="C316" t="str">
            <v>Para Personas</v>
          </cell>
        </row>
        <row r="317">
          <cell r="A317">
            <v>201943847</v>
          </cell>
          <cell r="B317">
            <v>2201002</v>
          </cell>
          <cell r="C317" t="str">
            <v>Para Animales</v>
          </cell>
        </row>
        <row r="318">
          <cell r="A318">
            <v>201943848</v>
          </cell>
          <cell r="B318">
            <v>2202</v>
          </cell>
          <cell r="C318" t="str">
            <v>Textiles, Vestuario y Calzado</v>
          </cell>
        </row>
        <row r="319">
          <cell r="A319">
            <v>201943849</v>
          </cell>
          <cell r="B319">
            <v>2202001</v>
          </cell>
          <cell r="C319" t="str">
            <v>Textiles y Acabados Textiles</v>
          </cell>
        </row>
        <row r="320">
          <cell r="A320">
            <v>201943850</v>
          </cell>
          <cell r="B320">
            <v>2202002</v>
          </cell>
          <cell r="C320" t="str">
            <v>Vestuario, Accesorios y Prendas Diversas</v>
          </cell>
        </row>
        <row r="321">
          <cell r="A321">
            <v>201943851</v>
          </cell>
          <cell r="B321">
            <v>2202003</v>
          </cell>
          <cell r="C321" t="str">
            <v>Calzado</v>
          </cell>
        </row>
        <row r="322">
          <cell r="A322">
            <v>201943852</v>
          </cell>
          <cell r="B322">
            <v>2203</v>
          </cell>
          <cell r="C322" t="str">
            <v>Combustibles y Lubricantes</v>
          </cell>
        </row>
        <row r="323">
          <cell r="A323">
            <v>201943853</v>
          </cell>
          <cell r="B323">
            <v>2203001</v>
          </cell>
          <cell r="C323" t="str">
            <v>Para Vehiculos</v>
          </cell>
        </row>
        <row r="324">
          <cell r="A324">
            <v>201943854</v>
          </cell>
          <cell r="B324">
            <v>2203002</v>
          </cell>
          <cell r="C324" t="str">
            <v>Para Maquinarias, Equipos de Produccion, Traccion y Elevacion</v>
          </cell>
        </row>
        <row r="325">
          <cell r="A325">
            <v>201943855</v>
          </cell>
          <cell r="B325">
            <v>2203003</v>
          </cell>
          <cell r="C325" t="str">
            <v>Para Calefaccion</v>
          </cell>
        </row>
        <row r="326">
          <cell r="A326">
            <v>201943856</v>
          </cell>
          <cell r="B326">
            <v>2203999</v>
          </cell>
          <cell r="C326" t="str">
            <v>Para Otros</v>
          </cell>
        </row>
        <row r="327">
          <cell r="A327">
            <v>201943952</v>
          </cell>
          <cell r="B327">
            <v>2204</v>
          </cell>
          <cell r="C327" t="str">
            <v>Materiales de Uso o Consumo</v>
          </cell>
        </row>
        <row r="328">
          <cell r="A328">
            <v>201943953</v>
          </cell>
          <cell r="B328">
            <v>2204001</v>
          </cell>
          <cell r="C328" t="str">
            <v>Materiales de Oficina</v>
          </cell>
        </row>
        <row r="329">
          <cell r="A329">
            <v>201943954</v>
          </cell>
          <cell r="B329">
            <v>2204002</v>
          </cell>
          <cell r="C329" t="str">
            <v>Textos y Otros Materiales de Ensenanza</v>
          </cell>
        </row>
        <row r="330">
          <cell r="A330">
            <v>201943955</v>
          </cell>
          <cell r="B330">
            <v>2204003</v>
          </cell>
          <cell r="C330" t="str">
            <v>Productos Quimicos</v>
          </cell>
        </row>
        <row r="331">
          <cell r="A331">
            <v>201943956</v>
          </cell>
          <cell r="B331">
            <v>2204004</v>
          </cell>
          <cell r="C331" t="str">
            <v>Productos Farmaceuticos</v>
          </cell>
        </row>
        <row r="332">
          <cell r="A332">
            <v>201943957</v>
          </cell>
          <cell r="B332">
            <v>2204005</v>
          </cell>
          <cell r="C332" t="str">
            <v>Materiales y tiles Quirurgicos</v>
          </cell>
        </row>
        <row r="333">
          <cell r="A333">
            <v>201943958</v>
          </cell>
          <cell r="B333">
            <v>2204006</v>
          </cell>
          <cell r="C333" t="str">
            <v>Fertilizantes, Insecticidas, Fungicidas y Otros</v>
          </cell>
        </row>
        <row r="334">
          <cell r="A334">
            <v>201943959</v>
          </cell>
          <cell r="B334">
            <v>2204007</v>
          </cell>
          <cell r="C334" t="str">
            <v>Materiales y tiles de Aseo</v>
          </cell>
        </row>
        <row r="335">
          <cell r="A335">
            <v>201943960</v>
          </cell>
          <cell r="B335">
            <v>2204008</v>
          </cell>
          <cell r="C335" t="str">
            <v>Menaje para Oficina, Casino y Otros</v>
          </cell>
        </row>
        <row r="336">
          <cell r="A336">
            <v>201943961</v>
          </cell>
          <cell r="B336">
            <v>2204009</v>
          </cell>
          <cell r="C336" t="str">
            <v>Insumos, Repuestos y Accesorios Computacionales</v>
          </cell>
        </row>
        <row r="337">
          <cell r="A337">
            <v>201943962</v>
          </cell>
          <cell r="B337">
            <v>2204010</v>
          </cell>
          <cell r="C337" t="str">
            <v>Materiales para Mantenimiento y Reparaciones de Inmuebles</v>
          </cell>
        </row>
        <row r="338">
          <cell r="A338">
            <v>201943963</v>
          </cell>
          <cell r="B338">
            <v>2204011</v>
          </cell>
          <cell r="C338" t="str">
            <v>Repuestos y Accesorios para Mantenimiento y Reparaciones de Vehiculos</v>
          </cell>
        </row>
        <row r="339">
          <cell r="A339">
            <v>201943964</v>
          </cell>
          <cell r="B339">
            <v>2204012</v>
          </cell>
          <cell r="C339" t="str">
            <v>Otros Materiales, Repuestos y tiles Diversos para Mantenimiento y Reparaciones</v>
          </cell>
        </row>
        <row r="340">
          <cell r="A340">
            <v>201943965</v>
          </cell>
          <cell r="B340">
            <v>2204013</v>
          </cell>
          <cell r="C340" t="str">
            <v>Equipos Menores</v>
          </cell>
        </row>
        <row r="341">
          <cell r="A341">
            <v>201943966</v>
          </cell>
          <cell r="B341">
            <v>2204014</v>
          </cell>
          <cell r="C341" t="str">
            <v>Productos Elaborados de Cuero, Caucho y Plasticos</v>
          </cell>
        </row>
        <row r="342">
          <cell r="A342">
            <v>201943967</v>
          </cell>
          <cell r="B342">
            <v>2204015</v>
          </cell>
          <cell r="C342" t="str">
            <v>Productos Agropecuarios y Forestales</v>
          </cell>
        </row>
        <row r="343">
          <cell r="A343">
            <v>201943968</v>
          </cell>
          <cell r="B343">
            <v>2204016</v>
          </cell>
          <cell r="C343" t="str">
            <v>Materias Primas y Semielaboradas</v>
          </cell>
        </row>
        <row r="344">
          <cell r="A344">
            <v>201943969</v>
          </cell>
          <cell r="B344">
            <v>2204999</v>
          </cell>
          <cell r="C344" t="str">
            <v>Otros</v>
          </cell>
        </row>
        <row r="345">
          <cell r="A345">
            <v>201943970</v>
          </cell>
          <cell r="B345">
            <v>2205</v>
          </cell>
          <cell r="C345" t="str">
            <v>Servicios Basicos</v>
          </cell>
        </row>
        <row r="346">
          <cell r="A346">
            <v>201943971</v>
          </cell>
          <cell r="B346">
            <v>2205001</v>
          </cell>
          <cell r="C346" t="str">
            <v>Electricidad</v>
          </cell>
        </row>
        <row r="347">
          <cell r="A347">
            <v>201943972</v>
          </cell>
          <cell r="B347">
            <v>2205002</v>
          </cell>
          <cell r="C347" t="str">
            <v>Agua</v>
          </cell>
        </row>
        <row r="348">
          <cell r="A348">
            <v>201943973</v>
          </cell>
          <cell r="B348">
            <v>2205003</v>
          </cell>
          <cell r="C348" t="str">
            <v>Gas</v>
          </cell>
        </row>
        <row r="349">
          <cell r="A349">
            <v>201943974</v>
          </cell>
          <cell r="B349">
            <v>2205004</v>
          </cell>
          <cell r="C349" t="str">
            <v>Correo</v>
          </cell>
        </row>
        <row r="350">
          <cell r="A350">
            <v>201943975</v>
          </cell>
          <cell r="B350">
            <v>2205005</v>
          </cell>
          <cell r="C350" t="str">
            <v>Telefonia Fija</v>
          </cell>
        </row>
        <row r="351">
          <cell r="A351">
            <v>201943976</v>
          </cell>
          <cell r="B351">
            <v>2205006</v>
          </cell>
          <cell r="C351" t="str">
            <v>Telefonia Celular</v>
          </cell>
        </row>
        <row r="352">
          <cell r="A352">
            <v>201943977</v>
          </cell>
          <cell r="B352">
            <v>2205007</v>
          </cell>
          <cell r="C352" t="str">
            <v>Acceso a Internet</v>
          </cell>
        </row>
        <row r="353">
          <cell r="A353">
            <v>201943978</v>
          </cell>
          <cell r="B353">
            <v>2205008</v>
          </cell>
          <cell r="C353" t="str">
            <v>Enlaces de Telecomunicaciones</v>
          </cell>
        </row>
        <row r="354">
          <cell r="A354">
            <v>201943979</v>
          </cell>
          <cell r="B354">
            <v>2205999</v>
          </cell>
          <cell r="C354" t="str">
            <v>Otros</v>
          </cell>
        </row>
        <row r="355">
          <cell r="A355">
            <v>201943980</v>
          </cell>
          <cell r="B355">
            <v>2206</v>
          </cell>
          <cell r="C355" t="str">
            <v>Mantenimiento y Reparaciones</v>
          </cell>
        </row>
        <row r="356">
          <cell r="A356">
            <v>201943981</v>
          </cell>
          <cell r="B356">
            <v>2206001</v>
          </cell>
          <cell r="C356" t="str">
            <v>Mantenimiento y Reparacion de Edificaciones</v>
          </cell>
        </row>
        <row r="357">
          <cell r="A357">
            <v>201943982</v>
          </cell>
          <cell r="B357">
            <v>2206002</v>
          </cell>
          <cell r="C357" t="str">
            <v>Mantenimiento y Reparacion de Vehiculos</v>
          </cell>
        </row>
        <row r="358">
          <cell r="A358">
            <v>201943983</v>
          </cell>
          <cell r="B358">
            <v>2206003</v>
          </cell>
          <cell r="C358" t="str">
            <v>Mantenimiento y Reparacion de Mobiliarios y Otros</v>
          </cell>
        </row>
        <row r="359">
          <cell r="A359">
            <v>201943984</v>
          </cell>
          <cell r="B359">
            <v>2206004</v>
          </cell>
          <cell r="C359" t="str">
            <v>Mantenimiento y Reparacion de Maquinas y Equipos de Oficina</v>
          </cell>
        </row>
        <row r="360">
          <cell r="A360">
            <v>201943985</v>
          </cell>
          <cell r="B360">
            <v>2206005</v>
          </cell>
          <cell r="C360" t="str">
            <v>Mantenimiento y Reparaciones de Maquinarias y Equipos de Produccion</v>
          </cell>
        </row>
        <row r="361">
          <cell r="A361">
            <v>201943986</v>
          </cell>
          <cell r="B361">
            <v>2206006</v>
          </cell>
          <cell r="C361" t="str">
            <v>Mantenimiento y Reparacion de Otras Maquinarias y Equipos</v>
          </cell>
        </row>
        <row r="362">
          <cell r="A362">
            <v>201943987</v>
          </cell>
          <cell r="B362">
            <v>2206007</v>
          </cell>
          <cell r="C362" t="str">
            <v>Mantenimiento y Reparacion de Equipos Informaticos</v>
          </cell>
        </row>
        <row r="363">
          <cell r="A363">
            <v>201943988</v>
          </cell>
          <cell r="B363">
            <v>2206999</v>
          </cell>
          <cell r="C363" t="str">
            <v>Otros</v>
          </cell>
        </row>
        <row r="364">
          <cell r="A364">
            <v>201943989</v>
          </cell>
          <cell r="B364">
            <v>2207</v>
          </cell>
          <cell r="C364" t="str">
            <v>Publicidad y Difusion</v>
          </cell>
        </row>
        <row r="365">
          <cell r="A365">
            <v>201943990</v>
          </cell>
          <cell r="B365">
            <v>2207001</v>
          </cell>
          <cell r="C365" t="str">
            <v>Servicios de Publicidad</v>
          </cell>
        </row>
        <row r="366">
          <cell r="A366">
            <v>201943991</v>
          </cell>
          <cell r="B366">
            <v>2207002</v>
          </cell>
          <cell r="C366" t="str">
            <v>Servicios de Impresion</v>
          </cell>
        </row>
        <row r="367">
          <cell r="A367">
            <v>201943992</v>
          </cell>
          <cell r="B367">
            <v>2207003</v>
          </cell>
          <cell r="C367" t="str">
            <v>Servicios de Encuadernacion y Empaste</v>
          </cell>
        </row>
        <row r="368">
          <cell r="A368">
            <v>201943993</v>
          </cell>
          <cell r="B368">
            <v>2207999</v>
          </cell>
          <cell r="C368" t="str">
            <v>Otros</v>
          </cell>
        </row>
        <row r="369">
          <cell r="A369">
            <v>201943994</v>
          </cell>
          <cell r="B369">
            <v>2208</v>
          </cell>
          <cell r="C369" t="str">
            <v>Servicios Generales</v>
          </cell>
        </row>
        <row r="370">
          <cell r="A370">
            <v>201943995</v>
          </cell>
          <cell r="B370">
            <v>2208001</v>
          </cell>
          <cell r="C370" t="str">
            <v>Servicios de Aseo</v>
          </cell>
        </row>
        <row r="371">
          <cell r="A371">
            <v>201943996</v>
          </cell>
          <cell r="B371">
            <v>2208002</v>
          </cell>
          <cell r="C371" t="str">
            <v>Servicios de Vigilancia</v>
          </cell>
        </row>
        <row r="372">
          <cell r="A372">
            <v>201943997</v>
          </cell>
          <cell r="B372">
            <v>2208003</v>
          </cell>
          <cell r="C372" t="str">
            <v>Servicios de Mantencion de Jardines</v>
          </cell>
        </row>
        <row r="373">
          <cell r="A373">
            <v>201943998</v>
          </cell>
          <cell r="B373">
            <v>2208007</v>
          </cell>
          <cell r="C373" t="str">
            <v>Pasajes, Fletes y Bodegajes</v>
          </cell>
        </row>
        <row r="374">
          <cell r="A374">
            <v>201943999</v>
          </cell>
          <cell r="B374">
            <v>2208008</v>
          </cell>
          <cell r="C374" t="str">
            <v>Salas Cunas y/o Jardines Infantiles</v>
          </cell>
        </row>
        <row r="375">
          <cell r="A375">
            <v>201944000</v>
          </cell>
          <cell r="B375">
            <v>2208009</v>
          </cell>
          <cell r="C375" t="str">
            <v>Servicios de Pago y Cobranza</v>
          </cell>
        </row>
        <row r="376">
          <cell r="A376">
            <v>201944001</v>
          </cell>
          <cell r="B376">
            <v>2208010</v>
          </cell>
          <cell r="C376" t="str">
            <v>Servicios de Suscripcion y Similares</v>
          </cell>
        </row>
        <row r="377">
          <cell r="A377">
            <v>201944002</v>
          </cell>
          <cell r="B377">
            <v>2208011</v>
          </cell>
          <cell r="C377" t="str">
            <v>Servicios de Produccion y Desarrollo de Eventos</v>
          </cell>
        </row>
        <row r="378">
          <cell r="A378">
            <v>201944003</v>
          </cell>
          <cell r="B378">
            <v>2208999</v>
          </cell>
          <cell r="C378" t="str">
            <v>Otros</v>
          </cell>
        </row>
        <row r="379">
          <cell r="A379">
            <v>201944004</v>
          </cell>
          <cell r="B379">
            <v>2209</v>
          </cell>
          <cell r="C379" t="str">
            <v>Arriendos</v>
          </cell>
        </row>
        <row r="380">
          <cell r="A380">
            <v>201944005</v>
          </cell>
          <cell r="B380">
            <v>2209001</v>
          </cell>
          <cell r="C380" t="str">
            <v>Arriendo de Terrenos</v>
          </cell>
        </row>
        <row r="381">
          <cell r="A381">
            <v>201944006</v>
          </cell>
          <cell r="B381">
            <v>2209002</v>
          </cell>
          <cell r="C381" t="str">
            <v>Arriendo de Edificios</v>
          </cell>
        </row>
        <row r="382">
          <cell r="A382">
            <v>201944007</v>
          </cell>
          <cell r="B382">
            <v>2209003</v>
          </cell>
          <cell r="C382" t="str">
            <v>Arriendo de Vehiculos</v>
          </cell>
        </row>
        <row r="383">
          <cell r="A383">
            <v>201944008</v>
          </cell>
          <cell r="B383">
            <v>2209004</v>
          </cell>
          <cell r="C383" t="str">
            <v>Arriendo de Mobiliario y Otros</v>
          </cell>
        </row>
        <row r="384">
          <cell r="A384">
            <v>201944009</v>
          </cell>
          <cell r="B384">
            <v>2209005</v>
          </cell>
          <cell r="C384" t="str">
            <v>Arriendo de Maquinas y Equipos</v>
          </cell>
        </row>
        <row r="385">
          <cell r="A385">
            <v>201944010</v>
          </cell>
          <cell r="B385">
            <v>2209006</v>
          </cell>
          <cell r="C385" t="str">
            <v>Arriendo de Equipos Informaticos</v>
          </cell>
        </row>
        <row r="386">
          <cell r="A386">
            <v>201944011</v>
          </cell>
          <cell r="B386">
            <v>2209999</v>
          </cell>
          <cell r="C386" t="str">
            <v>Otros</v>
          </cell>
        </row>
        <row r="387">
          <cell r="A387">
            <v>201944012</v>
          </cell>
          <cell r="B387">
            <v>2210</v>
          </cell>
          <cell r="C387" t="str">
            <v>Servicios Financieros y de Seguros</v>
          </cell>
        </row>
        <row r="388">
          <cell r="A388">
            <v>201944013</v>
          </cell>
          <cell r="B388">
            <v>2210001</v>
          </cell>
          <cell r="C388" t="str">
            <v>Gastos Financieros por Compra y Venta de Titulos y Valores</v>
          </cell>
        </row>
        <row r="389">
          <cell r="A389">
            <v>201944014</v>
          </cell>
          <cell r="B389">
            <v>2210002</v>
          </cell>
          <cell r="C389" t="str">
            <v>Primas y Gastos de Seguros</v>
          </cell>
        </row>
        <row r="390">
          <cell r="A390">
            <v>201944015</v>
          </cell>
          <cell r="B390">
            <v>2210003</v>
          </cell>
          <cell r="C390" t="str">
            <v>Servicios de Giros y Remesas</v>
          </cell>
        </row>
        <row r="391">
          <cell r="A391">
            <v>201944016</v>
          </cell>
          <cell r="B391">
            <v>2210004</v>
          </cell>
          <cell r="C391" t="str">
            <v>Gastos Bancarios</v>
          </cell>
        </row>
        <row r="392">
          <cell r="A392">
            <v>201944017</v>
          </cell>
          <cell r="B392">
            <v>2210999</v>
          </cell>
          <cell r="C392" t="str">
            <v>Otros</v>
          </cell>
        </row>
        <row r="393">
          <cell r="A393">
            <v>201944018</v>
          </cell>
          <cell r="B393">
            <v>2211</v>
          </cell>
          <cell r="C393" t="str">
            <v>Servicios Tecnicos y Profesionales</v>
          </cell>
        </row>
        <row r="394">
          <cell r="A394">
            <v>201944019</v>
          </cell>
          <cell r="B394">
            <v>2211001</v>
          </cell>
          <cell r="C394" t="str">
            <v>Estudios e Investigaciones</v>
          </cell>
        </row>
        <row r="395">
          <cell r="A395">
            <v>201944020</v>
          </cell>
          <cell r="B395">
            <v>2211002</v>
          </cell>
          <cell r="C395" t="str">
            <v>Cursos de Capacitacion</v>
          </cell>
        </row>
        <row r="396">
          <cell r="A396">
            <v>201944021</v>
          </cell>
          <cell r="B396">
            <v>2211003</v>
          </cell>
          <cell r="C396" t="str">
            <v>Servicios Informaticos</v>
          </cell>
        </row>
        <row r="397">
          <cell r="A397">
            <v>201944022</v>
          </cell>
          <cell r="B397">
            <v>2211999</v>
          </cell>
          <cell r="C397" t="str">
            <v>Otros</v>
          </cell>
        </row>
        <row r="398">
          <cell r="A398">
            <v>201944023</v>
          </cell>
          <cell r="B398">
            <v>2212</v>
          </cell>
          <cell r="C398" t="str">
            <v>Otros Gastos en Bienes y Servicios de Consumo</v>
          </cell>
        </row>
        <row r="399">
          <cell r="A399">
            <v>201944024</v>
          </cell>
          <cell r="B399">
            <v>2212001</v>
          </cell>
          <cell r="C399" t="str">
            <v>Gastos Reservados</v>
          </cell>
        </row>
        <row r="400">
          <cell r="A400">
            <v>201944025</v>
          </cell>
          <cell r="B400">
            <v>2212002</v>
          </cell>
          <cell r="C400" t="str">
            <v>Gastos Menores</v>
          </cell>
        </row>
        <row r="401">
          <cell r="A401">
            <v>201944026</v>
          </cell>
          <cell r="B401">
            <v>2212003</v>
          </cell>
          <cell r="C401" t="str">
            <v>Gastos de Representacion, Protocolo y Ceremonial</v>
          </cell>
        </row>
        <row r="402">
          <cell r="A402">
            <v>201944027</v>
          </cell>
          <cell r="B402">
            <v>2212004</v>
          </cell>
          <cell r="C402" t="str">
            <v>Intereses, Multas y Recargos</v>
          </cell>
        </row>
        <row r="403">
          <cell r="A403">
            <v>201944028</v>
          </cell>
          <cell r="B403">
            <v>2212005</v>
          </cell>
          <cell r="C403" t="str">
            <v>Derechos y Tasas</v>
          </cell>
        </row>
        <row r="404">
          <cell r="A404">
            <v>201944029</v>
          </cell>
          <cell r="B404">
            <v>2212006</v>
          </cell>
          <cell r="C404" t="str">
            <v>Contribuciones</v>
          </cell>
        </row>
        <row r="405">
          <cell r="A405">
            <v>201944030</v>
          </cell>
          <cell r="B405">
            <v>2212999</v>
          </cell>
          <cell r="C405" t="str">
            <v>Otros</v>
          </cell>
        </row>
        <row r="406">
          <cell r="A406">
            <v>201944031</v>
          </cell>
          <cell r="B406">
            <v>2215</v>
          </cell>
          <cell r="C406" t="str">
            <v>Material Policial y Militar</v>
          </cell>
        </row>
        <row r="407">
          <cell r="A407">
            <v>201944032</v>
          </cell>
          <cell r="B407">
            <v>23</v>
          </cell>
          <cell r="C407" t="str">
            <v>PRESTACIONES DE SEGURIDAD SOCIAL</v>
          </cell>
        </row>
        <row r="408">
          <cell r="A408">
            <v>201944033</v>
          </cell>
          <cell r="B408">
            <v>2301</v>
          </cell>
          <cell r="C408" t="str">
            <v>Prestaciones Previsionales</v>
          </cell>
        </row>
        <row r="409">
          <cell r="A409">
            <v>201944034</v>
          </cell>
          <cell r="B409">
            <v>2301001</v>
          </cell>
          <cell r="C409" t="str">
            <v>Jubilaciones, Pensiones y Montepios</v>
          </cell>
        </row>
        <row r="410">
          <cell r="A410">
            <v>201944035</v>
          </cell>
          <cell r="B410">
            <v>2301002</v>
          </cell>
          <cell r="C410" t="str">
            <v>Bonificaciones</v>
          </cell>
        </row>
        <row r="411">
          <cell r="A411">
            <v>201944036</v>
          </cell>
          <cell r="B411">
            <v>2301003</v>
          </cell>
          <cell r="C411" t="str">
            <v>Bono de Reconocimiento</v>
          </cell>
        </row>
        <row r="412">
          <cell r="A412">
            <v>201944037</v>
          </cell>
          <cell r="B412">
            <v>2301004</v>
          </cell>
          <cell r="C412" t="str">
            <v>Desahucios e Indemnizaciones</v>
          </cell>
        </row>
        <row r="413">
          <cell r="A413">
            <v>201944038</v>
          </cell>
          <cell r="B413">
            <v>2301005</v>
          </cell>
          <cell r="C413" t="str">
            <v>Fondo de Seguro Social de los Empleados Publicos</v>
          </cell>
        </row>
        <row r="414">
          <cell r="A414">
            <v>201944039</v>
          </cell>
          <cell r="B414">
            <v>2301006</v>
          </cell>
          <cell r="C414" t="str">
            <v>Asignacion por Muerte</v>
          </cell>
        </row>
        <row r="415">
          <cell r="A415">
            <v>201944040</v>
          </cell>
          <cell r="B415">
            <v>2301007</v>
          </cell>
          <cell r="C415" t="str">
            <v>Seguro de Vida</v>
          </cell>
        </row>
        <row r="416">
          <cell r="A416">
            <v>201944041</v>
          </cell>
          <cell r="B416">
            <v>2301008</v>
          </cell>
          <cell r="C416" t="str">
            <v>Devolucion de Imposiciones</v>
          </cell>
        </row>
        <row r="417">
          <cell r="A417">
            <v>201944042</v>
          </cell>
          <cell r="B417">
            <v>2301009</v>
          </cell>
          <cell r="C417" t="str">
            <v>Bonificaciones de Salud</v>
          </cell>
        </row>
        <row r="418">
          <cell r="A418">
            <v>201944043</v>
          </cell>
          <cell r="B418">
            <v>2301010</v>
          </cell>
          <cell r="C418" t="str">
            <v>Subsidios de Reposo Preventivo</v>
          </cell>
        </row>
        <row r="419">
          <cell r="A419">
            <v>201944044</v>
          </cell>
          <cell r="B419">
            <v>2301011</v>
          </cell>
          <cell r="C419" t="str">
            <v>Subsidio de Enfermedad y Medicina Curativa</v>
          </cell>
        </row>
        <row r="420">
          <cell r="A420">
            <v>201944045</v>
          </cell>
          <cell r="B420">
            <v>2301012</v>
          </cell>
          <cell r="C420" t="str">
            <v>Subsidios por Accidentes del Trabajo</v>
          </cell>
        </row>
        <row r="421">
          <cell r="A421">
            <v>201944046</v>
          </cell>
          <cell r="B421">
            <v>2301013</v>
          </cell>
          <cell r="C421" t="str">
            <v>Subsidios de Reposo Maternal, Articulo 196 Codigo del Trabajo</v>
          </cell>
        </row>
        <row r="422">
          <cell r="A422">
            <v>201944047</v>
          </cell>
          <cell r="B422">
            <v>2301014</v>
          </cell>
          <cell r="C422" t="str">
            <v>Subsidio Cajas de Compensacion de Asignacion Familiar</v>
          </cell>
        </row>
        <row r="423">
          <cell r="A423">
            <v>201944048</v>
          </cell>
          <cell r="B423">
            <v>2301015</v>
          </cell>
          <cell r="C423" t="str">
            <v>Aporte Fondo de Cesantia Solidario Ley N 19.728</v>
          </cell>
        </row>
        <row r="424">
          <cell r="A424">
            <v>201944150</v>
          </cell>
          <cell r="B424">
            <v>2301016</v>
          </cell>
          <cell r="C424" t="str">
            <v>Bonificacion por Hijo para las Mujeres</v>
          </cell>
        </row>
        <row r="425">
          <cell r="A425">
            <v>201944151</v>
          </cell>
          <cell r="B425">
            <v>2301017</v>
          </cell>
          <cell r="C425" t="str">
            <v>Fondo Bono Laboral Ley N 20.305</v>
          </cell>
        </row>
        <row r="426">
          <cell r="A426">
            <v>201944152</v>
          </cell>
          <cell r="B426">
            <v>2302</v>
          </cell>
          <cell r="C426" t="str">
            <v>Prestaciones de Asistencia Social</v>
          </cell>
        </row>
        <row r="427">
          <cell r="A427">
            <v>201944153</v>
          </cell>
          <cell r="B427">
            <v>2302001</v>
          </cell>
          <cell r="C427" t="str">
            <v>Asignacion Familiar</v>
          </cell>
        </row>
        <row r="428">
          <cell r="A428">
            <v>201944154</v>
          </cell>
          <cell r="B428">
            <v>2302002</v>
          </cell>
          <cell r="C428" t="str">
            <v>Pensiones Asistenciales</v>
          </cell>
        </row>
        <row r="429">
          <cell r="A429">
            <v>201944155</v>
          </cell>
          <cell r="B429">
            <v>2302003</v>
          </cell>
          <cell r="C429" t="str">
            <v>Garantia Estatal Pensiones Minimas</v>
          </cell>
        </row>
        <row r="430">
          <cell r="A430">
            <v>201944156</v>
          </cell>
          <cell r="B430">
            <v>2302004</v>
          </cell>
          <cell r="C430" t="str">
            <v>Ayudas Economicas y Otros Pagos Preventivos</v>
          </cell>
        </row>
        <row r="431">
          <cell r="A431">
            <v>201944157</v>
          </cell>
          <cell r="B431">
            <v>2302005</v>
          </cell>
          <cell r="C431" t="str">
            <v>Subsidios de Reposo Maternal y Cuidado del Nino</v>
          </cell>
        </row>
        <row r="432">
          <cell r="A432">
            <v>201944158</v>
          </cell>
          <cell r="B432">
            <v>2302006</v>
          </cell>
          <cell r="C432" t="str">
            <v>Subsidio de Cesantia</v>
          </cell>
        </row>
        <row r="433">
          <cell r="A433">
            <v>201944159</v>
          </cell>
          <cell r="B433">
            <v>2302007</v>
          </cell>
          <cell r="C433" t="str">
            <v>Pensiones Basicas Solidarias de Vejez</v>
          </cell>
        </row>
        <row r="434">
          <cell r="A434">
            <v>201944160</v>
          </cell>
          <cell r="B434">
            <v>2302008</v>
          </cell>
          <cell r="C434" t="str">
            <v>Pensiones Basicas Solidarias de Invalidez</v>
          </cell>
        </row>
        <row r="435">
          <cell r="A435">
            <v>201944161</v>
          </cell>
          <cell r="B435">
            <v>2302009</v>
          </cell>
          <cell r="C435" t="str">
            <v>Subsidio de Discapacidad Mental</v>
          </cell>
        </row>
        <row r="436">
          <cell r="A436">
            <v>201944162</v>
          </cell>
          <cell r="B436">
            <v>2302010</v>
          </cell>
          <cell r="C436" t="str">
            <v>Bono para Conyuges que cumplan Cincuenta Anos de Matrimonio</v>
          </cell>
        </row>
        <row r="437">
          <cell r="A437">
            <v>201944163</v>
          </cell>
          <cell r="B437">
            <v>2302011</v>
          </cell>
          <cell r="C437" t="str">
            <v>Bonificacion Ley N20.531</v>
          </cell>
        </row>
        <row r="438">
          <cell r="A438">
            <v>201947140</v>
          </cell>
          <cell r="B438">
            <v>2302012</v>
          </cell>
          <cell r="C438" t="str">
            <v>Aporte Familiar Permanente de Marzo</v>
          </cell>
        </row>
        <row r="439">
          <cell r="A439">
            <v>201944164</v>
          </cell>
          <cell r="B439">
            <v>2303</v>
          </cell>
          <cell r="C439" t="str">
            <v>Prestaciones Sociales del Empleador</v>
          </cell>
        </row>
        <row r="440">
          <cell r="A440">
            <v>201944165</v>
          </cell>
          <cell r="B440">
            <v>2303001</v>
          </cell>
          <cell r="C440" t="str">
            <v>Indemnizacion de Cargo Fiscal</v>
          </cell>
        </row>
        <row r="441">
          <cell r="A441">
            <v>201944166</v>
          </cell>
          <cell r="B441">
            <v>2303002</v>
          </cell>
          <cell r="C441" t="str">
            <v>Beneficios Medicos</v>
          </cell>
        </row>
        <row r="442">
          <cell r="A442">
            <v>201944167</v>
          </cell>
          <cell r="B442">
            <v>2303003</v>
          </cell>
          <cell r="C442" t="str">
            <v>Fondo Retiro Funcionarios Publicos Ley N 19.882</v>
          </cell>
        </row>
        <row r="443">
          <cell r="A443">
            <v>201944168</v>
          </cell>
          <cell r="B443">
            <v>2303004</v>
          </cell>
          <cell r="C443" t="str">
            <v>Otras Indemnizaciones</v>
          </cell>
        </row>
        <row r="444">
          <cell r="A444">
            <v>201944169</v>
          </cell>
          <cell r="B444">
            <v>24</v>
          </cell>
          <cell r="C444" t="str">
            <v>TRANSFERENCIAS CORRIENTES</v>
          </cell>
        </row>
        <row r="445">
          <cell r="A445">
            <v>201944170</v>
          </cell>
          <cell r="B445">
            <v>2401</v>
          </cell>
          <cell r="C445" t="str">
            <v>Al Sector Privado</v>
          </cell>
        </row>
        <row r="446">
          <cell r="A446">
            <v>201944171</v>
          </cell>
          <cell r="B446">
            <v>2402</v>
          </cell>
          <cell r="C446" t="str">
            <v>Al Gobierno Central</v>
          </cell>
        </row>
        <row r="447">
          <cell r="A447">
            <v>201944663</v>
          </cell>
          <cell r="B447">
            <v>2402005</v>
          </cell>
          <cell r="C447" t="str">
            <v>A la Direccion de Bibliotecas Archivos y Museos</v>
          </cell>
        </row>
        <row r="448">
          <cell r="A448">
            <v>201947087</v>
          </cell>
          <cell r="B448">
            <v>2402010</v>
          </cell>
          <cell r="C448" t="str">
            <v>Programa Inversion Regional Region X</v>
          </cell>
        </row>
        <row r="449">
          <cell r="A449">
            <v>201947083</v>
          </cell>
          <cell r="B449">
            <v>2402016</v>
          </cell>
          <cell r="C449" t="str">
            <v>Subsecretaria de Desarrollo Regional y Administrativo - Programa 01</v>
          </cell>
        </row>
        <row r="450">
          <cell r="A450">
            <v>201947143</v>
          </cell>
          <cell r="B450">
            <v>2402017</v>
          </cell>
          <cell r="C450" t="str">
            <v>Subsecretaria de Desarollo Regional y Administrativo - Programa 02</v>
          </cell>
        </row>
        <row r="451">
          <cell r="A451">
            <v>201947088</v>
          </cell>
          <cell r="B451">
            <v>2402018</v>
          </cell>
          <cell r="C451" t="str">
            <v>Subsecretaria del Interior - Programa 01</v>
          </cell>
        </row>
        <row r="452">
          <cell r="A452">
            <v>201947089</v>
          </cell>
          <cell r="B452">
            <v>2402101</v>
          </cell>
          <cell r="C452" t="str">
            <v>Programa Gastos de Funcionamiento Region I</v>
          </cell>
        </row>
        <row r="453">
          <cell r="A453">
            <v>201947090</v>
          </cell>
          <cell r="B453">
            <v>2402102</v>
          </cell>
          <cell r="C453" t="str">
            <v>Programa Gastos de Funcionamiento Region II</v>
          </cell>
        </row>
        <row r="454">
          <cell r="A454">
            <v>201947091</v>
          </cell>
          <cell r="B454">
            <v>2402103</v>
          </cell>
          <cell r="C454" t="str">
            <v>Programa Gastos de Funcionamiento Region III</v>
          </cell>
        </row>
        <row r="455">
          <cell r="A455">
            <v>201947092</v>
          </cell>
          <cell r="B455">
            <v>2402104</v>
          </cell>
          <cell r="C455" t="str">
            <v>Programa Gastos de Funcionamiento Region IV</v>
          </cell>
        </row>
        <row r="456">
          <cell r="A456">
            <v>201947093</v>
          </cell>
          <cell r="B456">
            <v>2402105</v>
          </cell>
          <cell r="C456" t="str">
            <v>Programa Gastos de Funcionamiento Region V</v>
          </cell>
        </row>
        <row r="457">
          <cell r="A457">
            <v>201947094</v>
          </cell>
          <cell r="B457">
            <v>2402106</v>
          </cell>
          <cell r="C457" t="str">
            <v>Programa Gastos de Funcionamiento Region VI</v>
          </cell>
        </row>
        <row r="458">
          <cell r="A458">
            <v>201947095</v>
          </cell>
          <cell r="B458">
            <v>2402107</v>
          </cell>
          <cell r="C458" t="str">
            <v>Programa Gastos de Funcionamiento Region VII</v>
          </cell>
        </row>
        <row r="459">
          <cell r="A459">
            <v>201947096</v>
          </cell>
          <cell r="B459">
            <v>2402108</v>
          </cell>
          <cell r="C459" t="str">
            <v>Programa Gastos de Funcionamiento Region VIII</v>
          </cell>
        </row>
        <row r="460">
          <cell r="A460">
            <v>201947097</v>
          </cell>
          <cell r="B460">
            <v>2402109</v>
          </cell>
          <cell r="C460" t="str">
            <v>Programa Gastos de Funcionamiento Region IX</v>
          </cell>
        </row>
        <row r="461">
          <cell r="A461">
            <v>201947098</v>
          </cell>
          <cell r="B461">
            <v>2402110</v>
          </cell>
          <cell r="C461" t="str">
            <v>Programa Gastos de Funcionamiento Region X</v>
          </cell>
        </row>
        <row r="462">
          <cell r="A462">
            <v>201947099</v>
          </cell>
          <cell r="B462">
            <v>2402111</v>
          </cell>
          <cell r="C462" t="str">
            <v>Programa Gastos de Funcionamiento Region XI</v>
          </cell>
        </row>
        <row r="463">
          <cell r="A463">
            <v>201947100</v>
          </cell>
          <cell r="B463">
            <v>2402112</v>
          </cell>
          <cell r="C463" t="str">
            <v>Programa Gastos de Funcionamiento Region XII</v>
          </cell>
        </row>
        <row r="464">
          <cell r="A464">
            <v>201947101</v>
          </cell>
          <cell r="B464">
            <v>2402113</v>
          </cell>
          <cell r="C464" t="str">
            <v>Programa Gastos de Funcionamiento Region Metropolitana</v>
          </cell>
        </row>
        <row r="465">
          <cell r="A465">
            <v>201947102</v>
          </cell>
          <cell r="B465">
            <v>2402114</v>
          </cell>
          <cell r="C465" t="str">
            <v>Programa Gastos de Funcionamiento Region XIV</v>
          </cell>
        </row>
        <row r="466">
          <cell r="A466">
            <v>201947103</v>
          </cell>
          <cell r="B466">
            <v>2402115</v>
          </cell>
          <cell r="C466" t="str">
            <v>Programa Gastos de Funcionamiento Region XV</v>
          </cell>
        </row>
        <row r="467">
          <cell r="A467">
            <v>201944172</v>
          </cell>
          <cell r="B467">
            <v>2403</v>
          </cell>
          <cell r="C467" t="str">
            <v>A Otras Entidades Publicas</v>
          </cell>
        </row>
        <row r="468">
          <cell r="A468">
            <v>201944560</v>
          </cell>
          <cell r="B468">
            <v>2403024</v>
          </cell>
          <cell r="C468" t="str">
            <v>Capacitacion en Desarrollo Regional y Comunal</v>
          </cell>
        </row>
        <row r="469">
          <cell r="A469">
            <v>201944664</v>
          </cell>
          <cell r="B469">
            <v>2403026</v>
          </cell>
          <cell r="C469" t="str">
            <v>Programa Academia Capacitacion Municipal y Regional</v>
          </cell>
        </row>
        <row r="470">
          <cell r="A470">
            <v>201944577</v>
          </cell>
          <cell r="B470">
            <v>2403029</v>
          </cell>
          <cell r="C470" t="str">
            <v>Municipalidades</v>
          </cell>
        </row>
        <row r="471">
          <cell r="A471">
            <v>201944573</v>
          </cell>
          <cell r="B471">
            <v>2403031</v>
          </cell>
          <cell r="C471" t="str">
            <v>Programa de Apoyo a la Acreditacion de Calidad de Servicios Municipales</v>
          </cell>
        </row>
        <row r="472">
          <cell r="A472">
            <v>201944559</v>
          </cell>
          <cell r="B472">
            <v>2403032</v>
          </cell>
          <cell r="C472" t="str">
            <v>Programa de Mejoramiento de la Gestion Municipal</v>
          </cell>
        </row>
        <row r="473">
          <cell r="A473">
            <v>201944665</v>
          </cell>
          <cell r="B473">
            <v>2403112</v>
          </cell>
          <cell r="C473" t="str">
            <v>Oficina Fondo Recuperacion de Ciudades</v>
          </cell>
        </row>
        <row r="474">
          <cell r="A474">
            <v>201944653</v>
          </cell>
          <cell r="B474">
            <v>2403399</v>
          </cell>
          <cell r="C474" t="str">
            <v>Oficina Credito de Apoyo a la Gestion Subnacional</v>
          </cell>
        </row>
        <row r="475">
          <cell r="A475">
            <v>201944568</v>
          </cell>
          <cell r="B475">
            <v>2403403</v>
          </cell>
          <cell r="C475" t="str">
            <v>Municipalidades (Compensacion por Predios Exentos)</v>
          </cell>
        </row>
        <row r="476">
          <cell r="A476">
            <v>201944572</v>
          </cell>
          <cell r="B476">
            <v>2403405</v>
          </cell>
          <cell r="C476" t="str">
            <v>Oficina Credito Puesta en Valor del Patrimonio</v>
          </cell>
        </row>
        <row r="477">
          <cell r="A477">
            <v>201947169</v>
          </cell>
          <cell r="B477">
            <v>2403406</v>
          </cell>
          <cell r="C477" t="str">
            <v>Municipalidades (Programa Esterilizacion y Atencion Sanitaria de Animales de Compania)</v>
          </cell>
        </row>
        <row r="478">
          <cell r="A478">
            <v>201947156</v>
          </cell>
          <cell r="B478">
            <v>2403408</v>
          </cell>
          <cell r="C478" t="str">
            <v>Programa de Buenas Practicas para el Desarrollo de los Territorios</v>
          </cell>
        </row>
        <row r="479">
          <cell r="A479">
            <v>201944173</v>
          </cell>
          <cell r="B479">
            <v>2404</v>
          </cell>
          <cell r="C479" t="str">
            <v>A Empresas Publicas no Financieras</v>
          </cell>
        </row>
        <row r="480">
          <cell r="A480">
            <v>201944174</v>
          </cell>
          <cell r="B480">
            <v>2405</v>
          </cell>
          <cell r="C480" t="str">
            <v>A Empresas Publicas Financieras</v>
          </cell>
        </row>
        <row r="481">
          <cell r="A481">
            <v>201944175</v>
          </cell>
          <cell r="B481">
            <v>2406</v>
          </cell>
          <cell r="C481" t="str">
            <v>A Gobiernos Extranjeros</v>
          </cell>
        </row>
        <row r="482">
          <cell r="A482">
            <v>201944176</v>
          </cell>
          <cell r="B482">
            <v>2407</v>
          </cell>
          <cell r="C482" t="str">
            <v>A Organismos Internacionales</v>
          </cell>
        </row>
        <row r="483">
          <cell r="A483">
            <v>201947123</v>
          </cell>
          <cell r="B483">
            <v>2407001</v>
          </cell>
          <cell r="C483" t="str">
            <v>A Organizacion para la Cooperacion y Desarrollo Economico</v>
          </cell>
        </row>
        <row r="484">
          <cell r="A484">
            <v>201947124</v>
          </cell>
          <cell r="B484">
            <v>2407002</v>
          </cell>
          <cell r="C484" t="str">
            <v>A Comision Economica Para America Latina y el Caribe de las Naciones Unidas</v>
          </cell>
        </row>
        <row r="485">
          <cell r="A485">
            <v>201944177</v>
          </cell>
          <cell r="B485">
            <v>25</v>
          </cell>
          <cell r="C485" t="str">
            <v>INTEGROS AL FISCO</v>
          </cell>
        </row>
        <row r="486">
          <cell r="A486">
            <v>201944178</v>
          </cell>
          <cell r="B486">
            <v>2501</v>
          </cell>
          <cell r="C486" t="str">
            <v>Impuestos</v>
          </cell>
        </row>
        <row r="487">
          <cell r="A487">
            <v>201944179</v>
          </cell>
          <cell r="B487">
            <v>2502</v>
          </cell>
          <cell r="C487" t="str">
            <v>Anticipos y/o Utilidades</v>
          </cell>
        </row>
        <row r="488">
          <cell r="A488">
            <v>201944180</v>
          </cell>
          <cell r="B488">
            <v>2503</v>
          </cell>
          <cell r="C488" t="str">
            <v>Excedentes de Caja</v>
          </cell>
        </row>
        <row r="489">
          <cell r="A489">
            <v>201944181</v>
          </cell>
          <cell r="B489">
            <v>2599</v>
          </cell>
          <cell r="C489" t="str">
            <v>Otros ntegros al Fisco</v>
          </cell>
        </row>
        <row r="490">
          <cell r="A490">
            <v>201944182</v>
          </cell>
          <cell r="B490">
            <v>26</v>
          </cell>
          <cell r="C490" t="str">
            <v>OTROS GASTOS CORRIENTES</v>
          </cell>
        </row>
        <row r="491">
          <cell r="A491">
            <v>201944183</v>
          </cell>
          <cell r="B491">
            <v>2601</v>
          </cell>
          <cell r="C491" t="str">
            <v>Devoluciones</v>
          </cell>
        </row>
        <row r="492">
          <cell r="A492">
            <v>201944184</v>
          </cell>
          <cell r="B492">
            <v>2602</v>
          </cell>
          <cell r="C492" t="str">
            <v>Compensaciones por Danos a Terceros y/o a la Propiedad</v>
          </cell>
        </row>
        <row r="493">
          <cell r="A493">
            <v>201944185</v>
          </cell>
          <cell r="B493">
            <v>2603</v>
          </cell>
          <cell r="C493" t="str">
            <v>2% Constitucional</v>
          </cell>
        </row>
        <row r="494">
          <cell r="A494">
            <v>201944186</v>
          </cell>
          <cell r="B494">
            <v>2604</v>
          </cell>
          <cell r="C494" t="str">
            <v>Aplicacion Fondos de Terceros</v>
          </cell>
        </row>
        <row r="495">
          <cell r="A495">
            <v>201944187</v>
          </cell>
          <cell r="B495">
            <v>27</v>
          </cell>
          <cell r="C495" t="str">
            <v>APORTE FISCAL LIBRE</v>
          </cell>
        </row>
        <row r="496">
          <cell r="A496">
            <v>201944188</v>
          </cell>
          <cell r="B496">
            <v>28</v>
          </cell>
          <cell r="C496" t="str">
            <v>APORTE FISCAL PARA SERVICIO DE LA DEUDA</v>
          </cell>
        </row>
        <row r="497">
          <cell r="A497">
            <v>201944189</v>
          </cell>
          <cell r="B497">
            <v>29</v>
          </cell>
          <cell r="C497" t="str">
            <v>ADQUISICION DE ACTIVOS NO FINANCIEROS</v>
          </cell>
        </row>
        <row r="498">
          <cell r="A498">
            <v>201944190</v>
          </cell>
          <cell r="B498">
            <v>2901</v>
          </cell>
          <cell r="C498" t="str">
            <v>Terrenos</v>
          </cell>
        </row>
        <row r="499">
          <cell r="A499">
            <v>201944191</v>
          </cell>
          <cell r="B499">
            <v>2902</v>
          </cell>
          <cell r="C499" t="str">
            <v>Edificios</v>
          </cell>
        </row>
        <row r="500">
          <cell r="A500">
            <v>201944192</v>
          </cell>
          <cell r="B500">
            <v>2903</v>
          </cell>
          <cell r="C500" t="str">
            <v>Vehiculos</v>
          </cell>
        </row>
        <row r="501">
          <cell r="A501">
            <v>201944193</v>
          </cell>
          <cell r="B501">
            <v>2904</v>
          </cell>
          <cell r="C501" t="str">
            <v>Mobiliario y Otros</v>
          </cell>
        </row>
        <row r="502">
          <cell r="A502">
            <v>201944194</v>
          </cell>
          <cell r="B502">
            <v>2905</v>
          </cell>
          <cell r="C502" t="str">
            <v>Maquinas y Equipos</v>
          </cell>
        </row>
        <row r="503">
          <cell r="A503">
            <v>201944195</v>
          </cell>
          <cell r="B503">
            <v>2905001</v>
          </cell>
          <cell r="C503" t="str">
            <v>Maquinas y Equipos de Oficina</v>
          </cell>
        </row>
        <row r="504">
          <cell r="A504">
            <v>201944196</v>
          </cell>
          <cell r="B504">
            <v>2905002</v>
          </cell>
          <cell r="C504" t="str">
            <v>Maquinarias y Equipos para la Produccion</v>
          </cell>
        </row>
        <row r="505">
          <cell r="A505">
            <v>201944197</v>
          </cell>
          <cell r="B505">
            <v>2905999</v>
          </cell>
          <cell r="C505" t="str">
            <v>Otras</v>
          </cell>
        </row>
        <row r="506">
          <cell r="A506">
            <v>201944198</v>
          </cell>
          <cell r="B506">
            <v>2906</v>
          </cell>
          <cell r="C506" t="str">
            <v>Equipos Informaticos</v>
          </cell>
        </row>
        <row r="507">
          <cell r="A507">
            <v>201944199</v>
          </cell>
          <cell r="B507">
            <v>2906001</v>
          </cell>
          <cell r="C507" t="str">
            <v>Equipos Computacionales y Perifericos</v>
          </cell>
        </row>
        <row r="508">
          <cell r="A508">
            <v>201944441</v>
          </cell>
          <cell r="B508">
            <v>2906002</v>
          </cell>
          <cell r="C508" t="str">
            <v>Equipos de Comunicaciones para Redes Informaticas</v>
          </cell>
        </row>
        <row r="509">
          <cell r="A509">
            <v>201944442</v>
          </cell>
          <cell r="B509">
            <v>2907</v>
          </cell>
          <cell r="C509" t="str">
            <v>Programas Informaticos</v>
          </cell>
        </row>
        <row r="510">
          <cell r="A510">
            <v>201944443</v>
          </cell>
          <cell r="B510">
            <v>2907001</v>
          </cell>
          <cell r="C510" t="str">
            <v>Programas Computacionales</v>
          </cell>
        </row>
        <row r="511">
          <cell r="A511">
            <v>201944444</v>
          </cell>
          <cell r="B511">
            <v>2907002</v>
          </cell>
          <cell r="C511" t="str">
            <v>Sistemas de Informacion</v>
          </cell>
        </row>
        <row r="512">
          <cell r="A512">
            <v>201944445</v>
          </cell>
          <cell r="B512">
            <v>2999</v>
          </cell>
          <cell r="C512" t="str">
            <v>Otros Activos no Financieros</v>
          </cell>
        </row>
        <row r="513">
          <cell r="A513">
            <v>201944446</v>
          </cell>
          <cell r="B513">
            <v>30</v>
          </cell>
          <cell r="C513" t="str">
            <v>ADQUISICION DE ACTIVOS FINANCIEROS</v>
          </cell>
        </row>
        <row r="514">
          <cell r="A514">
            <v>201944447</v>
          </cell>
          <cell r="B514">
            <v>3001</v>
          </cell>
          <cell r="C514" t="str">
            <v>Compra de Titulos y Valores</v>
          </cell>
        </row>
        <row r="515">
          <cell r="A515">
            <v>201944448</v>
          </cell>
          <cell r="B515">
            <v>3001001</v>
          </cell>
          <cell r="C515" t="str">
            <v>Depositos a Plazo</v>
          </cell>
        </row>
        <row r="516">
          <cell r="A516">
            <v>201944449</v>
          </cell>
          <cell r="B516">
            <v>3001002</v>
          </cell>
          <cell r="C516" t="str">
            <v>Pactos de Retrocompra</v>
          </cell>
        </row>
        <row r="517">
          <cell r="A517">
            <v>201944450</v>
          </cell>
          <cell r="B517">
            <v>3001003</v>
          </cell>
          <cell r="C517" t="str">
            <v>Cuotas de Fondos Mutuos</v>
          </cell>
        </row>
        <row r="518">
          <cell r="A518">
            <v>201944451</v>
          </cell>
          <cell r="B518">
            <v>3001004</v>
          </cell>
          <cell r="C518" t="str">
            <v>Bonos o Pagares</v>
          </cell>
        </row>
        <row r="519">
          <cell r="A519">
            <v>201944452</v>
          </cell>
          <cell r="B519">
            <v>3001005</v>
          </cell>
          <cell r="C519" t="str">
            <v>Letras Hipotecarias</v>
          </cell>
        </row>
        <row r="520">
          <cell r="A520">
            <v>201944453</v>
          </cell>
          <cell r="B520">
            <v>3001999</v>
          </cell>
          <cell r="C520" t="str">
            <v>Otros</v>
          </cell>
        </row>
        <row r="521">
          <cell r="A521">
            <v>201944454</v>
          </cell>
          <cell r="B521">
            <v>3002</v>
          </cell>
          <cell r="C521" t="str">
            <v>Compra de Acciones y Participaciones de Capital</v>
          </cell>
        </row>
        <row r="522">
          <cell r="A522">
            <v>201944455</v>
          </cell>
          <cell r="B522">
            <v>3003</v>
          </cell>
          <cell r="C522" t="str">
            <v>Operaciones de Cambio</v>
          </cell>
        </row>
        <row r="523">
          <cell r="A523">
            <v>201944456</v>
          </cell>
          <cell r="B523">
            <v>3099</v>
          </cell>
          <cell r="C523" t="str">
            <v>Otros Activos Financieros</v>
          </cell>
        </row>
        <row r="524">
          <cell r="A524">
            <v>201944457</v>
          </cell>
          <cell r="B524">
            <v>31</v>
          </cell>
          <cell r="C524" t="str">
            <v>INICIATIVAS DE INVERSION</v>
          </cell>
        </row>
        <row r="525">
          <cell r="A525">
            <v>201944458</v>
          </cell>
          <cell r="B525">
            <v>3101</v>
          </cell>
          <cell r="C525" t="str">
            <v>Estudios Basicos</v>
          </cell>
        </row>
        <row r="526">
          <cell r="A526">
            <v>201944459</v>
          </cell>
          <cell r="B526">
            <v>3101001</v>
          </cell>
          <cell r="C526" t="str">
            <v>Gastos Administrativos</v>
          </cell>
        </row>
        <row r="527">
          <cell r="A527">
            <v>201944460</v>
          </cell>
          <cell r="B527">
            <v>3101002</v>
          </cell>
          <cell r="C527" t="str">
            <v>Consultorias</v>
          </cell>
        </row>
        <row r="528">
          <cell r="A528">
            <v>201944461</v>
          </cell>
          <cell r="B528">
            <v>3102</v>
          </cell>
          <cell r="C528" t="str">
            <v>Proyectos</v>
          </cell>
        </row>
        <row r="529">
          <cell r="A529">
            <v>201944462</v>
          </cell>
          <cell r="B529">
            <v>3102001</v>
          </cell>
          <cell r="C529" t="str">
            <v>Gastos Administrativos</v>
          </cell>
        </row>
        <row r="530">
          <cell r="A530">
            <v>201944463</v>
          </cell>
          <cell r="B530">
            <v>3102002</v>
          </cell>
          <cell r="C530" t="str">
            <v>Consultorias</v>
          </cell>
        </row>
        <row r="531">
          <cell r="A531">
            <v>201944464</v>
          </cell>
          <cell r="B531">
            <v>3102003</v>
          </cell>
          <cell r="C531" t="str">
            <v>Terrenos</v>
          </cell>
        </row>
        <row r="532">
          <cell r="A532">
            <v>201944465</v>
          </cell>
          <cell r="B532">
            <v>3102004</v>
          </cell>
          <cell r="C532" t="str">
            <v>Obras Civiles</v>
          </cell>
        </row>
        <row r="533">
          <cell r="A533">
            <v>201944466</v>
          </cell>
          <cell r="B533">
            <v>3102005</v>
          </cell>
          <cell r="C533" t="str">
            <v>Equipamiento</v>
          </cell>
        </row>
        <row r="534">
          <cell r="A534">
            <v>201944467</v>
          </cell>
          <cell r="B534">
            <v>3102006</v>
          </cell>
          <cell r="C534" t="str">
            <v>Equipos</v>
          </cell>
        </row>
        <row r="535">
          <cell r="A535">
            <v>201944468</v>
          </cell>
          <cell r="B535">
            <v>3102007</v>
          </cell>
          <cell r="C535" t="str">
            <v>Vehiculos</v>
          </cell>
        </row>
        <row r="536">
          <cell r="A536">
            <v>201944469</v>
          </cell>
          <cell r="B536">
            <v>3102999</v>
          </cell>
          <cell r="C536" t="str">
            <v>Otros Gastos</v>
          </cell>
        </row>
        <row r="537">
          <cell r="A537">
            <v>201944470</v>
          </cell>
          <cell r="B537">
            <v>3103</v>
          </cell>
          <cell r="C537" t="str">
            <v>Programas de Inversion</v>
          </cell>
        </row>
        <row r="538">
          <cell r="A538">
            <v>201944471</v>
          </cell>
          <cell r="B538">
            <v>3103001</v>
          </cell>
          <cell r="C538" t="str">
            <v>Gastos Administrativos</v>
          </cell>
        </row>
        <row r="539">
          <cell r="A539">
            <v>201944472</v>
          </cell>
          <cell r="B539">
            <v>3103002</v>
          </cell>
          <cell r="C539" t="str">
            <v>Consultorias</v>
          </cell>
        </row>
        <row r="540">
          <cell r="A540">
            <v>201944473</v>
          </cell>
          <cell r="B540">
            <v>3103003</v>
          </cell>
          <cell r="C540" t="str">
            <v>Contratacion del Programa</v>
          </cell>
        </row>
        <row r="541">
          <cell r="A541">
            <v>201944474</v>
          </cell>
          <cell r="B541">
            <v>32</v>
          </cell>
          <cell r="C541" t="str">
            <v>PRESTAMOS</v>
          </cell>
        </row>
        <row r="542">
          <cell r="A542">
            <v>201944475</v>
          </cell>
          <cell r="B542">
            <v>3201</v>
          </cell>
          <cell r="C542" t="str">
            <v>De Asistencia Social</v>
          </cell>
        </row>
        <row r="543">
          <cell r="A543">
            <v>201944476</v>
          </cell>
          <cell r="B543">
            <v>3202</v>
          </cell>
          <cell r="C543" t="str">
            <v>Hipotecarios</v>
          </cell>
        </row>
        <row r="544">
          <cell r="A544">
            <v>201944477</v>
          </cell>
          <cell r="B544">
            <v>3203</v>
          </cell>
          <cell r="C544" t="str">
            <v>Pignoraticios</v>
          </cell>
        </row>
        <row r="545">
          <cell r="A545">
            <v>201944478</v>
          </cell>
          <cell r="B545">
            <v>3204</v>
          </cell>
          <cell r="C545" t="str">
            <v>De Fomento</v>
          </cell>
        </row>
        <row r="546">
          <cell r="A546">
            <v>201944667</v>
          </cell>
          <cell r="B546">
            <v>3204002</v>
          </cell>
          <cell r="C546" t="str">
            <v>Municipalidades</v>
          </cell>
        </row>
        <row r="547">
          <cell r="A547">
            <v>201944479</v>
          </cell>
          <cell r="B547">
            <v>3205</v>
          </cell>
          <cell r="C547" t="str">
            <v>Medicos</v>
          </cell>
        </row>
        <row r="548">
          <cell r="A548">
            <v>201944480</v>
          </cell>
          <cell r="B548">
            <v>3206</v>
          </cell>
          <cell r="C548" t="str">
            <v>Por Anticipos a Contratistas</v>
          </cell>
        </row>
        <row r="549">
          <cell r="A549">
            <v>201944481</v>
          </cell>
          <cell r="B549">
            <v>3207</v>
          </cell>
          <cell r="C549" t="str">
            <v>Por Anticipos por Cambio de Residencia</v>
          </cell>
        </row>
        <row r="550">
          <cell r="A550">
            <v>201944482</v>
          </cell>
          <cell r="B550">
            <v>3209</v>
          </cell>
          <cell r="C550" t="str">
            <v>Por Ventas a Plazo</v>
          </cell>
        </row>
        <row r="551">
          <cell r="A551">
            <v>201944483</v>
          </cell>
          <cell r="B551">
            <v>33</v>
          </cell>
          <cell r="C551" t="str">
            <v>TRANSFERENCIAS DE CAPITAL</v>
          </cell>
        </row>
        <row r="552">
          <cell r="A552">
            <v>201944484</v>
          </cell>
          <cell r="B552">
            <v>3301</v>
          </cell>
          <cell r="C552" t="str">
            <v>Al Sector Privado</v>
          </cell>
        </row>
        <row r="553">
          <cell r="A553">
            <v>201944485</v>
          </cell>
          <cell r="B553">
            <v>3302</v>
          </cell>
          <cell r="C553" t="str">
            <v>Al Gobierno Central</v>
          </cell>
        </row>
        <row r="554">
          <cell r="A554">
            <v>201944578</v>
          </cell>
          <cell r="B554">
            <v>3302001</v>
          </cell>
          <cell r="C554" t="str">
            <v>Programa Inversion Regional Region I</v>
          </cell>
        </row>
        <row r="555">
          <cell r="A555">
            <v>201944579</v>
          </cell>
          <cell r="B555">
            <v>3302002</v>
          </cell>
          <cell r="C555" t="str">
            <v>Programa Inversion Regional Region II</v>
          </cell>
        </row>
        <row r="556">
          <cell r="A556">
            <v>201944580</v>
          </cell>
          <cell r="B556">
            <v>3302003</v>
          </cell>
          <cell r="C556" t="str">
            <v>Programa Inversion Regional Region III</v>
          </cell>
        </row>
        <row r="557">
          <cell r="A557">
            <v>201944581</v>
          </cell>
          <cell r="B557">
            <v>3302004</v>
          </cell>
          <cell r="C557" t="str">
            <v>Programa Inversion Regional Region IV</v>
          </cell>
        </row>
        <row r="558">
          <cell r="A558">
            <v>201944582</v>
          </cell>
          <cell r="B558">
            <v>3302005</v>
          </cell>
          <cell r="C558" t="str">
            <v>Programa Inversion Regional Region V</v>
          </cell>
        </row>
        <row r="559">
          <cell r="A559">
            <v>201944583</v>
          </cell>
          <cell r="B559">
            <v>3302006</v>
          </cell>
          <cell r="C559" t="str">
            <v>Programa Inversion Regional Region VI</v>
          </cell>
        </row>
        <row r="560">
          <cell r="A560">
            <v>201944584</v>
          </cell>
          <cell r="B560">
            <v>3302007</v>
          </cell>
          <cell r="C560" t="str">
            <v>Programa Inversion Regional Region VII</v>
          </cell>
        </row>
        <row r="561">
          <cell r="A561">
            <v>201944585</v>
          </cell>
          <cell r="B561">
            <v>3302008</v>
          </cell>
          <cell r="C561" t="str">
            <v>Programa Inversion Regional Region VIII</v>
          </cell>
        </row>
        <row r="562">
          <cell r="A562">
            <v>201944586</v>
          </cell>
          <cell r="B562">
            <v>3302009</v>
          </cell>
          <cell r="C562" t="str">
            <v>Programa Inversion Regional Region IX</v>
          </cell>
        </row>
        <row r="563">
          <cell r="A563">
            <v>201944587</v>
          </cell>
          <cell r="B563">
            <v>3302010</v>
          </cell>
          <cell r="C563" t="str">
            <v>Programa Inversion Regional Region X</v>
          </cell>
        </row>
        <row r="564">
          <cell r="A564">
            <v>201944658</v>
          </cell>
          <cell r="B564">
            <v>3302011</v>
          </cell>
          <cell r="C564" t="str">
            <v>Programa Inversion Regional Region XI</v>
          </cell>
        </row>
        <row r="565">
          <cell r="A565">
            <v>201944588</v>
          </cell>
          <cell r="B565">
            <v>3302012</v>
          </cell>
          <cell r="C565" t="str">
            <v>Programa Inversion Regional Region XII</v>
          </cell>
        </row>
        <row r="566">
          <cell r="A566">
            <v>201944642</v>
          </cell>
          <cell r="B566">
            <v>3302013</v>
          </cell>
          <cell r="C566" t="str">
            <v>Programa Inversion Regional Region Metropolitana</v>
          </cell>
        </row>
        <row r="567">
          <cell r="A567">
            <v>201944656</v>
          </cell>
          <cell r="B567">
            <v>3302014</v>
          </cell>
          <cell r="C567" t="str">
            <v>Programa Inversion Regional Region XIV</v>
          </cell>
        </row>
        <row r="568">
          <cell r="A568">
            <v>201944657</v>
          </cell>
          <cell r="B568">
            <v>3302015</v>
          </cell>
          <cell r="C568" t="str">
            <v>Programa Inversion Regional Region XV</v>
          </cell>
        </row>
        <row r="569">
          <cell r="A569">
            <v>201946403</v>
          </cell>
          <cell r="B569">
            <v>3302016</v>
          </cell>
          <cell r="C569" t="str">
            <v>Al Consejo Nacional De La Cultura Y Las Artes</v>
          </cell>
        </row>
        <row r="570">
          <cell r="A570">
            <v>201947079</v>
          </cell>
          <cell r="B570">
            <v>3302017</v>
          </cell>
          <cell r="C570" t="str">
            <v>Subsecretaria de Desarrollo Regional y Administrativo - Programa 03</v>
          </cell>
        </row>
        <row r="571">
          <cell r="A571">
            <v>201947104</v>
          </cell>
          <cell r="B571">
            <v>3302018</v>
          </cell>
          <cell r="C571" t="str">
            <v>Subsecretaria de Desarrollo Regional y Administrativo - Programa 01</v>
          </cell>
        </row>
        <row r="572">
          <cell r="A572">
            <v>201947167</v>
          </cell>
          <cell r="B572">
            <v>3302019</v>
          </cell>
          <cell r="C572" t="str">
            <v>Subsecretaria del Interior - Programa 01</v>
          </cell>
        </row>
        <row r="573">
          <cell r="A573">
            <v>201944486</v>
          </cell>
          <cell r="B573">
            <v>3303</v>
          </cell>
          <cell r="C573" t="str">
            <v>A Otras Entidades Publicas</v>
          </cell>
        </row>
        <row r="574">
          <cell r="A574">
            <v>201944643</v>
          </cell>
          <cell r="B574">
            <v>3303001</v>
          </cell>
          <cell r="C574" t="str">
            <v>Provision Fondo Nacional de Desarrollo Regional</v>
          </cell>
        </row>
        <row r="575">
          <cell r="A575">
            <v>201944644</v>
          </cell>
          <cell r="B575">
            <v>3303003</v>
          </cell>
          <cell r="C575" t="str">
            <v>Provision Infraestructura Educacional</v>
          </cell>
        </row>
        <row r="576">
          <cell r="A576">
            <v>201944645</v>
          </cell>
          <cell r="B576">
            <v>3303005</v>
          </cell>
          <cell r="C576" t="str">
            <v>Municipalidades (Programa Mejoramiento Urbano y Equipamiento Comunal)</v>
          </cell>
        </row>
        <row r="577">
          <cell r="A577">
            <v>201944650</v>
          </cell>
          <cell r="B577">
            <v>3303005001</v>
          </cell>
          <cell r="C577" t="str">
            <v>Emergencia</v>
          </cell>
        </row>
        <row r="578">
          <cell r="A578">
            <v>201944651</v>
          </cell>
          <cell r="B578">
            <v>3303005002</v>
          </cell>
          <cell r="C578" t="str">
            <v>Tradicional</v>
          </cell>
        </row>
        <row r="579">
          <cell r="A579">
            <v>201944652</v>
          </cell>
          <cell r="B579">
            <v>3303005003</v>
          </cell>
          <cell r="C579" t="str">
            <v>Emergencia FIE</v>
          </cell>
        </row>
        <row r="580">
          <cell r="A580">
            <v>201944646</v>
          </cell>
          <cell r="B580">
            <v>3303006</v>
          </cell>
          <cell r="C580" t="str">
            <v>Municipalidades (Programa Mejoramiento de Barrios)</v>
          </cell>
        </row>
        <row r="581">
          <cell r="A581">
            <v>201944571</v>
          </cell>
          <cell r="B581">
            <v>3303016</v>
          </cell>
          <cell r="C581" t="str">
            <v>Municipalidades - Sistema Informacion Financiera Municipal</v>
          </cell>
        </row>
        <row r="582">
          <cell r="A582">
            <v>201944647</v>
          </cell>
          <cell r="B582">
            <v>3303017</v>
          </cell>
          <cell r="C582" t="str">
            <v>Provision Programa Infraestructura Rural</v>
          </cell>
        </row>
        <row r="583">
          <cell r="A583">
            <v>201944659</v>
          </cell>
          <cell r="B583">
            <v>3303021</v>
          </cell>
          <cell r="C583" t="str">
            <v>Provision Puesta en Valor del Patrimonio</v>
          </cell>
        </row>
        <row r="584">
          <cell r="A584">
            <v>201944654</v>
          </cell>
          <cell r="B584">
            <v>3303024</v>
          </cell>
          <cell r="C584" t="str">
            <v>Provision Programa Fondo de Innovacion para la Competitividad</v>
          </cell>
        </row>
        <row r="585">
          <cell r="A585">
            <v>201944655</v>
          </cell>
          <cell r="B585">
            <v>3303025</v>
          </cell>
          <cell r="C585" t="str">
            <v>Provision de Apoyo a la Gestion Subnacional</v>
          </cell>
        </row>
        <row r="586">
          <cell r="A586">
            <v>201944565</v>
          </cell>
          <cell r="B586">
            <v>3303100</v>
          </cell>
          <cell r="C586" t="str">
            <v>Municipalidades (Fondo Recuperacion de Ciudades)</v>
          </cell>
        </row>
        <row r="587">
          <cell r="A587">
            <v>201944666</v>
          </cell>
          <cell r="B587">
            <v>3303110</v>
          </cell>
          <cell r="C587" t="str">
            <v>Municipalidades (Fondo de Incentivo al Mejoramiento de la Gestion Municipal)</v>
          </cell>
        </row>
        <row r="588">
          <cell r="A588">
            <v>201944648</v>
          </cell>
          <cell r="B588">
            <v>3303130</v>
          </cell>
          <cell r="C588" t="str">
            <v>Provision Programa Saneamiento Sanitario</v>
          </cell>
        </row>
        <row r="589">
          <cell r="A589">
            <v>201944649</v>
          </cell>
          <cell r="B589">
            <v>3303190</v>
          </cell>
          <cell r="C589" t="str">
            <v>Provision Programa Residuos Solidos</v>
          </cell>
        </row>
        <row r="590">
          <cell r="A590">
            <v>201944660</v>
          </cell>
          <cell r="B590">
            <v>3303418</v>
          </cell>
          <cell r="C590" t="str">
            <v>Provision Ley N 20.378 - Fondo de Apoyo Regional (FAR)</v>
          </cell>
        </row>
        <row r="591">
          <cell r="A591">
            <v>201944564</v>
          </cell>
          <cell r="B591">
            <v>3303421</v>
          </cell>
          <cell r="C591" t="str">
            <v>Provision Incorporacion Mayores Ingresos Propios</v>
          </cell>
        </row>
        <row r="592">
          <cell r="A592">
            <v>201944563</v>
          </cell>
          <cell r="B592">
            <v>3303423</v>
          </cell>
          <cell r="C592" t="str">
            <v>Provision Recuperacion Infraestructura Local Zona Centro Sur</v>
          </cell>
        </row>
        <row r="593">
          <cell r="A593">
            <v>201944562</v>
          </cell>
          <cell r="B593">
            <v>3303426</v>
          </cell>
          <cell r="C593" t="str">
            <v>Provision Energizacion</v>
          </cell>
        </row>
        <row r="594">
          <cell r="A594">
            <v>201947134</v>
          </cell>
          <cell r="B594">
            <v>3303500</v>
          </cell>
          <cell r="C594" t="str">
            <v>Recuperacion y Desarrollo Urbano de Valparaiso</v>
          </cell>
        </row>
        <row r="595">
          <cell r="A595">
            <v>201944487</v>
          </cell>
          <cell r="B595">
            <v>3304</v>
          </cell>
          <cell r="C595" t="str">
            <v>A Empresas Publicas no Financieras</v>
          </cell>
        </row>
        <row r="596">
          <cell r="A596">
            <v>201944488</v>
          </cell>
          <cell r="B596">
            <v>3305</v>
          </cell>
          <cell r="C596" t="str">
            <v>A Empresas Publicas Financieras</v>
          </cell>
        </row>
        <row r="597">
          <cell r="A597">
            <v>201944489</v>
          </cell>
          <cell r="B597">
            <v>3306</v>
          </cell>
          <cell r="C597" t="str">
            <v>A Gobiernos Extranjeros</v>
          </cell>
        </row>
        <row r="598">
          <cell r="A598">
            <v>201944490</v>
          </cell>
          <cell r="B598">
            <v>3307</v>
          </cell>
          <cell r="C598" t="str">
            <v>A Organismos Internacionales</v>
          </cell>
        </row>
        <row r="599">
          <cell r="A599">
            <v>201944491</v>
          </cell>
          <cell r="B599">
            <v>34</v>
          </cell>
          <cell r="C599" t="str">
            <v>SERVICIO DE LA DEUDA</v>
          </cell>
        </row>
        <row r="600">
          <cell r="A600">
            <v>201944492</v>
          </cell>
          <cell r="B600">
            <v>3401</v>
          </cell>
          <cell r="C600" t="str">
            <v>Amortizacion Deuda Interna</v>
          </cell>
        </row>
        <row r="601">
          <cell r="A601">
            <v>201944589</v>
          </cell>
          <cell r="B601">
            <v>3401001</v>
          </cell>
          <cell r="C601" t="str">
            <v>Rescate de Valores</v>
          </cell>
        </row>
        <row r="602">
          <cell r="A602">
            <v>201944590</v>
          </cell>
          <cell r="B602">
            <v>3401002</v>
          </cell>
          <cell r="C602" t="str">
            <v>Emprestitos</v>
          </cell>
        </row>
        <row r="603">
          <cell r="A603">
            <v>201944591</v>
          </cell>
          <cell r="B603">
            <v>3401003</v>
          </cell>
          <cell r="C603" t="str">
            <v>Creditos de Proveedores</v>
          </cell>
        </row>
        <row r="604">
          <cell r="A604">
            <v>201944592</v>
          </cell>
          <cell r="B604">
            <v>3402</v>
          </cell>
          <cell r="C604" t="str">
            <v>Amortizacion Deuda Externa</v>
          </cell>
        </row>
        <row r="605">
          <cell r="A605">
            <v>201944593</v>
          </cell>
          <cell r="B605">
            <v>3402001</v>
          </cell>
          <cell r="C605" t="str">
            <v>Rescate de Valores</v>
          </cell>
        </row>
        <row r="606">
          <cell r="A606">
            <v>201944594</v>
          </cell>
          <cell r="B606">
            <v>3402002</v>
          </cell>
          <cell r="C606" t="str">
            <v>Emprestitos</v>
          </cell>
        </row>
        <row r="607">
          <cell r="A607">
            <v>201944595</v>
          </cell>
          <cell r="B607">
            <v>3402003</v>
          </cell>
          <cell r="C607" t="str">
            <v>Creditos de Proveedores</v>
          </cell>
        </row>
        <row r="608">
          <cell r="A608">
            <v>201944596</v>
          </cell>
          <cell r="B608">
            <v>3403</v>
          </cell>
          <cell r="C608" t="str">
            <v>Intereses Deuda Interna</v>
          </cell>
        </row>
        <row r="609">
          <cell r="A609">
            <v>201944597</v>
          </cell>
          <cell r="B609">
            <v>3403001</v>
          </cell>
          <cell r="C609" t="str">
            <v>Por Emision de Valores</v>
          </cell>
        </row>
        <row r="610">
          <cell r="A610">
            <v>201944598</v>
          </cell>
          <cell r="B610">
            <v>3403002</v>
          </cell>
          <cell r="C610" t="str">
            <v>Emprestitos</v>
          </cell>
        </row>
        <row r="611">
          <cell r="A611">
            <v>201944599</v>
          </cell>
          <cell r="B611">
            <v>3403003</v>
          </cell>
          <cell r="C611" t="str">
            <v>Creditos de Proveedores</v>
          </cell>
        </row>
        <row r="612">
          <cell r="A612">
            <v>201944600</v>
          </cell>
          <cell r="B612">
            <v>3404</v>
          </cell>
          <cell r="C612" t="str">
            <v>Intereses Deuda Externa</v>
          </cell>
        </row>
        <row r="613">
          <cell r="A613">
            <v>201944601</v>
          </cell>
          <cell r="B613">
            <v>3404001</v>
          </cell>
          <cell r="C613" t="str">
            <v>Por Emision de Valores</v>
          </cell>
        </row>
        <row r="614">
          <cell r="A614">
            <v>201944602</v>
          </cell>
          <cell r="B614">
            <v>3404002</v>
          </cell>
          <cell r="C614" t="str">
            <v>Emprestitos</v>
          </cell>
        </row>
        <row r="615">
          <cell r="A615">
            <v>201944661</v>
          </cell>
          <cell r="B615">
            <v>3404002001</v>
          </cell>
          <cell r="C615" t="str">
            <v>Intereses Deuda Publica</v>
          </cell>
        </row>
        <row r="616">
          <cell r="A616">
            <v>201944662</v>
          </cell>
          <cell r="B616">
            <v>3404002002</v>
          </cell>
          <cell r="C616" t="str">
            <v>Comisiones Deuda Publica</v>
          </cell>
        </row>
        <row r="617">
          <cell r="A617">
            <v>201944603</v>
          </cell>
          <cell r="B617">
            <v>3404003</v>
          </cell>
          <cell r="C617" t="str">
            <v>Creditos de Proveedores</v>
          </cell>
        </row>
        <row r="618">
          <cell r="A618">
            <v>201944604</v>
          </cell>
          <cell r="B618">
            <v>3405</v>
          </cell>
          <cell r="C618" t="str">
            <v>Otros Gastos Financieros Deuda Interna</v>
          </cell>
        </row>
        <row r="619">
          <cell r="A619">
            <v>201944605</v>
          </cell>
          <cell r="B619">
            <v>3405001</v>
          </cell>
          <cell r="C619" t="str">
            <v>Por Emision de Valores</v>
          </cell>
        </row>
        <row r="620">
          <cell r="A620">
            <v>201944606</v>
          </cell>
          <cell r="B620">
            <v>3405002</v>
          </cell>
          <cell r="C620" t="str">
            <v>Emprestitos</v>
          </cell>
        </row>
        <row r="621">
          <cell r="A621">
            <v>201944607</v>
          </cell>
          <cell r="B621">
            <v>3405003</v>
          </cell>
          <cell r="C621" t="str">
            <v>Creditos de Proveedores</v>
          </cell>
        </row>
        <row r="622">
          <cell r="A622">
            <v>201944608</v>
          </cell>
          <cell r="B622">
            <v>3406</v>
          </cell>
          <cell r="C622" t="str">
            <v>Otros Gastos Financieros Deuda Externa</v>
          </cell>
        </row>
        <row r="623">
          <cell r="A623">
            <v>201944609</v>
          </cell>
          <cell r="B623">
            <v>3406001</v>
          </cell>
          <cell r="C623" t="str">
            <v>Por Emision de Valores</v>
          </cell>
        </row>
        <row r="624">
          <cell r="A624">
            <v>201944610</v>
          </cell>
          <cell r="B624">
            <v>3406002</v>
          </cell>
          <cell r="C624" t="str">
            <v>Emprestitos</v>
          </cell>
        </row>
        <row r="625">
          <cell r="A625">
            <v>201944611</v>
          </cell>
          <cell r="B625">
            <v>3406003</v>
          </cell>
          <cell r="C625" t="str">
            <v>Creditos de Proveedores</v>
          </cell>
        </row>
        <row r="626">
          <cell r="A626">
            <v>201944612</v>
          </cell>
          <cell r="B626">
            <v>3407</v>
          </cell>
          <cell r="C626" t="str">
            <v>Deuda Flotante</v>
          </cell>
        </row>
        <row r="627">
          <cell r="A627">
            <v>201944613</v>
          </cell>
          <cell r="B627">
            <v>35</v>
          </cell>
          <cell r="C627" t="str">
            <v>SALDO FINAL DE CAJA</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26.486402199072" createdVersion="8" refreshedVersion="8" minRefreshableVersion="3" recordCount="4" xr:uid="{54054726-6069-4EE4-B859-302F46C0425A}">
  <cacheSource type="worksheet">
    <worksheetSource ref="B313:S317" sheet="CONSOLIDADO"/>
  </cacheSource>
  <cacheFields count="18">
    <cacheField name="1" numFmtId="0">
      <sharedItems count="4">
        <s v="PROGRAMA 01 - SUBSECRETARIA "/>
        <s v="PROGRAMA 02 - SUBNACIONAL"/>
        <s v="PROGRAMA 03 - DESARROLLO LOCAL"/>
        <s v="PROGRAMA 05 - TRANSFERENCIA GORES"/>
      </sharedItems>
    </cacheField>
    <cacheField name="." numFmtId="0">
      <sharedItems containsNonDate="0" containsString="0" containsBlank="1"/>
    </cacheField>
    <cacheField name=".2" numFmtId="0">
      <sharedItems containsNonDate="0" containsString="0" containsBlank="1"/>
    </cacheField>
    <cacheField name=".3" numFmtId="0">
      <sharedItems containsNonDate="0" containsString="0" containsBlank="1"/>
    </cacheField>
    <cacheField name=".4" numFmtId="0">
      <sharedItems containsNonDate="0" containsString="0" containsBlank="1"/>
    </cacheField>
    <cacheField name=".5" numFmtId="0">
      <sharedItems containsNonDate="0" containsString="0" containsBlank="1"/>
    </cacheField>
    <cacheField name="Presupuesto Inicial 2025 M$" numFmtId="3">
      <sharedItems containsSemiMixedTypes="0" containsString="0" containsNumber="1" minValue="6445274" maxValue="282286863.09600002"/>
    </cacheField>
    <cacheField name="Presupuesto  Vigente 2025 M$" numFmtId="3">
      <sharedItems containsSemiMixedTypes="0" containsString="0" containsNumber="1" minValue="6374314" maxValue="272655009.09600002"/>
    </cacheField>
    <cacheField name="Ejecución al 31/01/2025 M$" numFmtId="3">
      <sharedItems containsSemiMixedTypes="0" containsString="0" containsNumber="1" minValue="0" maxValue="57606824.673999995"/>
    </cacheField>
    <cacheField name="% de Ejecución 31/01/2025 M$" numFmtId="172">
      <sharedItems containsSemiMixedTypes="0" containsString="0" containsNumber="1" minValue="0" maxValue="0.24189197912120422"/>
    </cacheField>
    <cacheField name="Presupuesto comprometido M$" numFmtId="0">
      <sharedItems containsSemiMixedTypes="0" containsString="0" containsNumber="1" minValue="0" maxValue="58683322.898999996"/>
    </cacheField>
    <cacheField name="% Presupuesto comprometido M$" numFmtId="172">
      <sharedItems containsSemiMixedTypes="0" containsString="0" containsNumber="1" minValue="0" maxValue="0.34708766464909002"/>
    </cacheField>
    <cacheField name="Saldo disponible M$" numFmtId="41">
      <sharedItems containsSemiMixedTypes="0" containsString="0" containsNumber="1" minValue="4161868.24" maxValue="213971686.19700003"/>
    </cacheField>
    <cacheField name="% Saldo disponible " numFmtId="172">
      <sharedItems containsSemiMixedTypes="0" containsString="0" containsNumber="1" minValue="0.65291233535090998" maxValue="1"/>
    </cacheField>
    <cacheField name="Presupuesto  Vigente al 31/01/2024 M$" numFmtId="3">
      <sharedItems containsSemiMixedTypes="0" containsString="0" containsNumber="1" minValue="7549604.7881999994" maxValue="290913036.55840003"/>
    </cacheField>
    <cacheField name="Ejecución al 31/01/2024  M$" numFmtId="3">
      <sharedItems containsSemiMixedTypes="0" containsString="0" containsNumber="1" minValue="1091324.102622" maxValue="50410516.126649998"/>
    </cacheField>
    <cacheField name="%                            Ejecución al 31/01/2024  M$" numFmtId="172">
      <sharedItems containsSemiMixedTypes="0" containsString="0" containsNumber="1" minValue="0.10173399693932977" maxValue="0.17328379890782317"/>
    </cacheField>
    <cacheField name="Saldo por ejecutar M$" numFmtId="41">
      <sharedItems containsSemiMixedTypes="0" containsString="0" containsNumber="1" minValue="0" maxValue="2207808.133999999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tefanni Cifuentes Rivas" refreshedDate="45726.486493634256" createdVersion="8" refreshedVersion="8" minRefreshableVersion="3" recordCount="294" xr:uid="{703394E5-C45F-4F28-8EF0-17FB466FF3FA}">
  <cacheSource type="worksheet">
    <worksheetSource ref="B8:R302" sheet="CONSOLIDADO"/>
  </cacheSource>
  <cacheFields count="17">
    <cacheField name="Subtitulo" numFmtId="0">
      <sharedItems containsBlank="1" containsMixedTypes="1" containsNumber="1" containsInteger="1" minValue="22" maxValue="34" count="14">
        <s v="Sub."/>
        <s v="21."/>
        <m/>
        <n v="22"/>
        <n v="23"/>
        <n v="24"/>
        <s v="  "/>
        <n v="25"/>
        <n v="26"/>
        <n v="29"/>
        <n v="30"/>
        <n v="32"/>
        <n v="33"/>
        <n v="34"/>
      </sharedItems>
    </cacheField>
    <cacheField name="Item." numFmtId="0">
      <sharedItems containsBlank="1" containsMixedTypes="1" containsNumber="1" containsInteger="1" minValue="1" maxValue="99"/>
    </cacheField>
    <cacheField name="Asig." numFmtId="0">
      <sharedItems containsBlank="1" containsMixedTypes="1" containsNumber="1" containsInteger="1" minValue="6" maxValue="409"/>
    </cacheField>
    <cacheField name="Sub" numFmtId="168">
      <sharedItems containsBlank="1" containsMixedTypes="1" containsNumber="1" containsInteger="1" minValue="1" maxValue="999"/>
    </cacheField>
    <cacheField name="." numFmtId="0">
      <sharedItems containsBlank="1"/>
    </cacheField>
    <cacheField name="nombre" numFmtId="0">
      <sharedItems count="258">
        <s v="CONSOLIDADO PROGRAMAS"/>
        <s v="GASTOS EN PERSONAL"/>
        <s v="Personal de Planta"/>
        <s v="Sueldos y Sobresueldos"/>
        <s v="Sueldo Bases"/>
        <s v="Asignación de Antigüedad"/>
        <s v="Asignación Profesional"/>
        <s v="Asignación de Zona"/>
        <s v="Asig. Del DL N° 3,551, de 1981"/>
        <s v="Gastos de Representación"/>
        <s v="Asignación de Dirección Superior"/>
        <s v="Asignaciones Compensatorias"/>
        <s v="Asignaciones Sustitutivas"/>
        <s v="Componente Base Asignación de Desempeño"/>
        <s v="Asignación de Responsabilidad Superior"/>
        <s v="Aplicación inciso 5to del Artículo 1 de la Ley N° "/>
        <s v="Otras Asignaciones"/>
        <s v="Aportes del Empleador"/>
        <s v="A Servicios de Bienestar"/>
        <s v="Otras Cotizaciones Previsionales"/>
        <s v="Asignaciones por Desempeño"/>
        <s v="Desempeño Institucional"/>
        <s v="Desempeño Colectivo"/>
        <s v="Desempeño Individual"/>
        <s v="Remuneraciones Variables"/>
        <s v="Asignación por Desempeño de Funciones Críticas"/>
        <s v="Trabajos Extraordinarios"/>
        <s v="Comisiones de Servicios en el País"/>
        <s v="Comisiones de Servicios en el Exterior"/>
        <s v="Aguinaldos"/>
        <s v="Bono de Escolaridad"/>
        <s v="Bonos Especiales "/>
        <s v="Personal a Contrata"/>
        <s v="sueldos base"/>
        <s v="Asignaciónes del DL N° 2.411, de 1978"/>
        <s v="Asignaciónes del DL N° 3.551, de 1981"/>
        <s v="Asignación Zonas Extremas"/>
        <s v="Asignación de Responsabilidad Superior "/>
        <s v="Otras Remuneraciones "/>
        <s v="Honorarios a Suma Alzada - Personas Naturales"/>
        <s v="Honorarios a Suma Alzada-Honorarios"/>
        <s v="Honorarios a Suma Alzada-Viaticos"/>
        <s v="Suplencias y Reemplazos"/>
        <s v="Alumnos en Práctica"/>
        <s v="Otras"/>
        <s v="BIENES Y SERVICIOS DE CONSUMO"/>
        <s v="Alimentos y Bebidas"/>
        <s v="Para Personas"/>
        <s v="Textiles, Vestuario y Calzado"/>
        <s v="Textiles y Acabados Textiles"/>
        <s v="Vestuario, Accesorios y Prendas Diversas"/>
        <s v="Calzado"/>
        <s v="Combustibles y Lubricantes"/>
        <s v="Para Vehículos "/>
        <s v="Materiales de Uso o Consumo"/>
        <s v="Materiales de Oficina "/>
        <s v="Textos y Otros Materiales de Enseñanza"/>
        <s v="Productos Químicos"/>
        <s v="Productos Farmacéuticos"/>
        <s v="Materiales y Útiles Quirúrgicos"/>
        <s v="Materiales y útiles de Aseo "/>
        <s v="Menaje para Oficina, Casino y Otros "/>
        <s v="Insumos, Repuestos y Accesorios Computacionales"/>
        <s v="Materiales para Mantenimiento y Reparaciones de Inmuebles"/>
        <s v="Repuestos y Accesorios para Mantenimiento y Reparaciones de Vehículos"/>
        <s v="Otros Materiales, Repuestos y Útiles Diversos para Mantenimiento "/>
        <s v="Equipos Menores "/>
        <s v="Otros "/>
        <s v="Servicios Básicos"/>
        <s v="Electricidad"/>
        <s v="Agua"/>
        <s v="Gas"/>
        <s v="Correo"/>
        <s v="Telefonía Fija"/>
        <s v="Telefonía Celular"/>
        <s v="Acceso a Internet"/>
        <s v="Enlaces de Telecomunicaciones"/>
        <s v="Mantenimiento y Reparaciones."/>
        <s v="Mantenimiento y Reparación de Edificaciones."/>
        <s v="Mantenimiento y Reparación de Vehículos"/>
        <s v="Mantenimiento y Reparación de Máquinas y Equipos d"/>
        <s v="Mantenimiento y Reparación de Mobiliarios y Otros."/>
        <s v="Mantenimiento y Reparación de Máquinas y Equipos de Oficina"/>
        <s v="Mantenimiento y Reparación de Equipos Informáticos"/>
        <s v="Otros"/>
        <s v="Publicidad y Difusión"/>
        <s v="Servicios de Publicidad"/>
        <s v="Servicios de Impresión"/>
        <s v="Servicios Generales"/>
        <s v="Servicios de Aseo"/>
        <s v="Servicios de Vigilancia"/>
        <s v="Servicios de Mantención de Jardines"/>
        <s v="Pasajes, Fletes y Bodegaje."/>
        <s v="Salas Cunas y/o Jardines Infantiles."/>
        <s v="Servicios de Suscripción y Similares"/>
        <s v="Arriendo"/>
        <s v="Arriendo de Edificios"/>
        <s v="Arriendo de Máquinas  y Equipos "/>
        <s v="Arriendo de Equipos Informaticos"/>
        <s v="Servicios Financieros y de Seguros "/>
        <s v="Primas y Gastos de Seguros "/>
        <s v="Gastos Bancarios"/>
        <s v="Servicios Técnicos y Profesionales"/>
        <s v="Estudios e Investigaciones"/>
        <s v="Cursos de Capacitación"/>
        <s v="Sercicios Informáticos"/>
        <s v="Otros Gastos en Bienes y Servicios de Consumo"/>
        <s v="Gastos Menores"/>
        <s v=" Gastos de Representación, Protocolo y Ceremonial"/>
        <s v="PRESTACIONES DE SEGURIDAD SOCIAL"/>
        <s v=" Prestaciones Sociales del Empleador"/>
        <s v="Indemnización de Cargo Fiscal"/>
        <s v="Fondo Retiro Funcionarios Públicos Ley N° 19.882"/>
        <s v="Otras Indemnizaciones"/>
        <s v="TRANSFERENCIAS CORRIENTES "/>
        <s v=" Al Sector Privado"/>
        <s v="Fundación para la Promoción y Desarrollo de la Muj"/>
        <s v="Fondo Concursable Becas - Ley N°20.742"/>
        <s v="Universidad del Desarrollo"/>
        <s v="Fundación Chile Descentralizado Desarrollado"/>
        <s v="Universidad Adolfo Ibañez - Índice de bienestar "/>
        <s v="Universidad Católica-Centro Latinoamericano"/>
        <s v="Fortalecimiento y Apoyo Técnico a los Gobiernos Re"/>
        <s v="Fortalecimiento de Capacidades de Intervención en "/>
        <s v=" Al Gobierno Central "/>
        <s v="A la Dirección de Arquitectura - MOP"/>
        <s v="Al Consejo de Monumentos Nacionales"/>
        <s v="Al Servicio Nacional del Patrimonio Cultural"/>
        <s v="Programa Gastos de Funcionamiento Región de Tarapacá"/>
        <s v="Programa Gastos de Funcionamiento Región de Antofa"/>
        <s v="Programa Gastos de Funcionamiento Región de Atacama"/>
        <s v="Programa Gastos de Funcionamiento Región de Coquimbo"/>
        <s v="Programa Gasto de Funcionamiento Región de Valparaíso"/>
        <s v="Programa Gasto de Funcionamiento Región del Libertador B. O'Higgins"/>
        <s v="Programa Gasto de Funcionamiento Región del Maule"/>
        <s v="Programa Gastos de Funcionamiento Región del Bio Bio"/>
        <s v="Programa Gastos de Funcionamiento Región de La Araucanía"/>
        <s v="Programa Gasto de Funcionamiento Región de Los Lagos"/>
        <s v="Programa Gastos de Funcionamiento Región de Aysén del General Carlos Ibañez del Campo "/>
        <s v="Programa Gasto de Funcionamiento Región de Magallanes"/>
        <s v="Programa Gasto de Funcionamiento Región Metropolitana"/>
        <s v="Programa Gastos de Funcionamiento Región de Los Ríos"/>
        <s v="Programa Gastos de Funcionamiento Región de Arica Parinacota"/>
        <s v="Programa Gastos de Funcionamiento Región de Ñuble"/>
        <s v="Servicio Nacional de Prevención y Respuesta Ante D"/>
        <s v="A la Subsecretaría de Bienes Nacionales"/>
        <s v=" A Otras Entidades Públicas "/>
        <s v="Capacitacion en Desarrollo Regional y Comunal"/>
        <s v="U. de Chile, Facultad de Gobierno - Actualización "/>
        <s v="Programa Academia Capacitación Muncipal y Regional"/>
        <s v="Agencia para la Sustentabilidad y Cambio Climático"/>
        <s v="SUBPESCA - Consulta indígena área marina Rapa Nui "/>
        <s v="Programa de Apoyo a la Acreditación de Calidad de Servicios Municipales "/>
        <s v="UFRO - Red de expertos macro zona sur"/>
        <s v="Municipalidades (Compensación por Predios Exentos) "/>
        <s v="Municipalidades (Programa Esterilización y Atención Sanitaria de Animales de Compañía)"/>
        <s v="Servicios de Asistencia Técnica Especializada SATE"/>
        <s v="Oficina Revitalización de Barrios e Infraestructural Patrimonial"/>
        <s v="Universidad de Chile - Fortalecimiento Organización"/>
        <s v="Oficina de Donación Española"/>
        <s v="Municipalidades (Prevención y Mitigación de Riesgos)"/>
        <s v="Programa de Modernización Municipal"/>
        <s v=" A Organismos Internacionales"/>
        <s v="A Comisión Económica Para América Latina y el Caribe"/>
        <s v="A Banco Interamericano de Desarrollo (BID)"/>
        <s v="A Banco Mundial"/>
        <s v="A Organización de las Naciones Unidas para la Alimentación"/>
        <s v="A Facultad Latinoamericana de Ciencias Sociales"/>
        <s v="Diálogos participativos regionales para ela"/>
        <s v="PNUD: Plan Ercilla"/>
        <s v="A Unidades o Programas del Servicio"/>
        <s v="Programa de Apoyo al Mejoramiento de la Gestión y de Servicios Municipales"/>
        <s v="Oficina Revitalización de Barrios e Infraestructur"/>
        <s v="INGRESOS AL FISCO"/>
        <s v="Otros Ingresos al Fisco"/>
        <s v="Integros por Recuperación de Licencias Médicas"/>
        <s v="Integros por Saldos No Utilizados de Transferencia"/>
        <s v="Integros por Cobro de Pagos en Exceso"/>
        <s v="Integros por Cobro de Pagos Duplicados"/>
        <s v="OTROS GASTOS CORRIENTES"/>
        <s v="Devoluciones"/>
        <s v="ADQUISICIÓN DE ACTIVOS NO FINANCIEROS"/>
        <s v="Vehículo"/>
        <s v="Mobiliario y Otros"/>
        <s v="Máquinas y Equipos"/>
        <s v="Equipos Informáticos"/>
        <s v="Programas Informáticos"/>
        <s v="ADQUISICIÓN DE ACTIVOS FINANCIEROS "/>
        <s v="PRESTAMOS "/>
        <s v="De Fomento"/>
        <s v="Municipalidades"/>
        <s v="Aporte Reembolsable Especial a Municipalidades"/>
        <s v="Aporte Reembolsable Compensación Ingresos Propios "/>
        <s v="TRANSFERENCIAS DE CAPITAL "/>
        <s v="Al Gobierno Central"/>
        <s v="Programa Inversión Regional Región I  Tarapacá"/>
        <s v="Programa Inversión Regional Región II  Antofagasta"/>
        <s v="Programa Inversión Regional Región III Atacama"/>
        <s v="Programa Inversión Regional Región IV Coquimbo"/>
        <s v="Programa Inversión Regional Región V Valparaíso"/>
        <s v="Programa Inversión Regional Región VI del Libertador "/>
        <s v="Programa Inversión Regional Región VII  Maule"/>
        <s v="Programa Inversión Regional Región VIII  Bío Bío"/>
        <s v="Programa Inversión Regional Región IX La Araucanía"/>
        <s v="Programa Inversión Regional Región X  Los Lagos"/>
        <s v="Programa Inversión Regional Región XI  Aysén"/>
        <s v="Programa Inversión Regional Región XII Magallanes "/>
        <s v="Programa Inversión Regional Región Metropolitana"/>
        <s v="Programa Inversión Regional Región XIV Los Ríos"/>
        <s v="Programa Inversión Regional Región XV  Arica y Parinacota"/>
        <s v="Programa Inversión Regional Región XVI  Ñuble"/>
        <s v="Subsecretaría de Desarrollo Regional y Administrativo"/>
        <s v="Gobiernos Regionales - Programas de Inversión"/>
        <s v="Al Serviu VIII"/>
        <s v="Recuperación Región del Maule"/>
        <s v="Servicio Nacional del Patrimonio Cultural"/>
        <s v="Programa Financiamiento Gobiernos Regionales"/>
        <s v="A Otras Entidades Publicas"/>
        <s v="Provisión Fondo Nacional de Desarrollo Regional"/>
        <s v="Municipalidades (PMU)"/>
        <s v="Tradicional (PMU)"/>
        <s v="Emergencia (PMU)"/>
        <s v="Cuenca del Carbón (PMU)"/>
        <s v="Emergencia S.P.D."/>
        <s v="Municipalidades (PMB)"/>
        <s v="Asistencia Técnica (PMB)"/>
        <s v="Terrenos (PMB)"/>
        <s v="Otras Transferencias (PMB)"/>
        <s v="Estudios y diseños (PMB)"/>
        <s v="IRAL Inversión Regional de Asignación Local (PMB)"/>
        <s v="Obras (PMB)"/>
        <s v="3303010 Programa de Mejoramiento Urbano y Equipamiento Com"/>
        <s v="3303017 Provisión Programa Infraestructura Rural"/>
        <s v="3303020 Programa de Mejoramiento de Barrios FET-Covid-19"/>
        <s v="3303021 Provisión Puesta en Valor del Patrimonio"/>
        <s v="3303025 Provisión de Apoyo a la Gestión Subnacional"/>
        <s v="Municipalidades (Fondo Recuperación de Ciudades - FRC) "/>
        <s v="3303110 Municipalidades (Fondo de Incentivo al Mejoramient"/>
        <s v="3303111 Municipalidades (Progr. Revital de Barrios e Infra"/>
        <s v="Municipalidades (Programa Recuperación Espacios de"/>
        <s v="Provisión Programa Saneamiento Sanitario"/>
        <s v="Provisión Programa Residuos Sólidos"/>
        <s v="Provisión Ley N° 20.378 - Fondo de Apoyo Regional "/>
        <s v="Provisión Incorporación Mayores Ingresos Propios"/>
        <s v="Provisión Energización"/>
        <s v="Provisión Regiones Extremas"/>
        <s v="Provisión Territorios Rezagados"/>
        <s v="Fondo de Desarrollo Local"/>
        <s v="Provisión Programas de Apoyo al Empleo"/>
        <s v="Fondo de Apoyo Contingencia Regional"/>
        <s v="Fondo de Equidad Interregional"/>
        <s v="Municipalidades (Programa de Modernización)"/>
        <s v="Sistema Información Financiera Municipal"/>
        <s v="Unidad de Gobierno Electrónico Local"/>
        <s v="Sistema Información Municipal (SIM )"/>
        <s v="Plataforma Unidad de RRHH"/>
        <s v="Servicios SINIM"/>
        <s v="SERVICIO DE LA DEUDA"/>
      </sharedItems>
    </cacheField>
    <cacheField name="Presupuesto Inicial 2025 M$" numFmtId="3">
      <sharedItems containsSemiMixedTypes="0" containsString="0" containsNumber="1" minValue="0" maxValue="431345319.19599998"/>
    </cacheField>
    <cacheField name="Presupuesto  Vigente 2025 M$" numFmtId="3">
      <sharedItems containsSemiMixedTypes="0" containsString="0" containsNumber="1" minValue="0" maxValue="374682003.19599998"/>
    </cacheField>
    <cacheField name="Ejecución al 31/01/2025 M$" numFmtId="3">
      <sharedItems containsSemiMixedTypes="0" containsString="0" containsNumber="1" minValue="0" maxValue="67417152.464999989"/>
    </cacheField>
    <cacheField name="% de Ejecución 31/01/2025 M$" numFmtId="172">
      <sharedItems containsMixedTypes="1" containsNumber="1" minValue="0" maxValue="1"/>
    </cacheField>
    <cacheField name="Presupuesto comprometido M$" numFmtId="0">
      <sharedItems containsString="0" containsBlank="1" containsNumber="1" minValue="0" maxValue="71372009.155000001"/>
    </cacheField>
    <cacheField name="% Presupuesto comprometido M$" numFmtId="172">
      <sharedItems containsSemiMixedTypes="0" containsString="0" containsNumber="1" minValue="0" maxValue="1"/>
    </cacheField>
    <cacheField name="Saldo disponible M$" numFmtId="0">
      <sharedItems containsString="0" containsBlank="1" containsNumber="1" minValue="-34191465.895999998" maxValue="303309994.04100001"/>
    </cacheField>
    <cacheField name="% Saldo disponible " numFmtId="172">
      <sharedItems containsSemiMixedTypes="0" containsString="0" containsNumber="1" minValue="0" maxValue="1"/>
    </cacheField>
    <cacheField name="Presupuesto  Vigente al 31/01/2024 M$" numFmtId="3">
      <sharedItems containsString="0" containsBlank="1" containsNumber="1" minValue="0" maxValue="419435741.50080001"/>
    </cacheField>
    <cacheField name="Ejecución al 31/01/2024  M$" numFmtId="3">
      <sharedItems containsString="0" containsBlank="1" containsNumber="1" minValue="0" maxValue="64964425.420071997"/>
    </cacheField>
    <cacheField name="%                            Ejecución al 31/01/2024  M$" numFmtId="172">
      <sharedItems containsBlank="1" containsMixedTypes="1" containsNumber="1" minValue="0" maxValue="3.37039580439513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x v="0"/>
    <m/>
    <m/>
    <m/>
    <m/>
    <m/>
    <n v="40123745.100000001"/>
    <n v="39560035.100000001"/>
    <n v="8268432.3619999997"/>
    <n v="0.20900973270370024"/>
    <n v="10476240.495999999"/>
    <n v="0.26481878667493902"/>
    <n v="29083794.604000002"/>
    <n v="0.73518121332506103"/>
    <n v="38960464.506200001"/>
    <n v="5119111.9668000005"/>
    <n v="0.13139247777667967"/>
    <n v="2207808.1339999996"/>
  </r>
  <r>
    <x v="1"/>
    <m/>
    <m/>
    <m/>
    <m/>
    <m/>
    <n v="6445274"/>
    <n v="6374314"/>
    <n v="1541895.4289999998"/>
    <n v="0.24189197912120422"/>
    <n v="2212445.7599999998"/>
    <n v="0.34708766464909002"/>
    <n v="4161868.24"/>
    <n v="0.65291233535090998"/>
    <n v="7549604.7881999994"/>
    <n v="1091324.102622"/>
    <n v="0.14455380556181366"/>
    <n v="670550.33100000001"/>
  </r>
  <r>
    <x v="2"/>
    <m/>
    <m/>
    <m/>
    <m/>
    <m/>
    <n v="282286863.09600002"/>
    <n v="272655009.09600002"/>
    <n v="57606824.673999995"/>
    <n v="0.21128100622467205"/>
    <n v="58683322.898999996"/>
    <n v="0.21522921252599467"/>
    <n v="213971686.19700003"/>
    <n v="0.78477078747400542"/>
    <n v="290913036.55840003"/>
    <n v="50410516.126649998"/>
    <n v="0.17328379890782317"/>
    <n v="1076498.2250000015"/>
  </r>
  <r>
    <x v="3"/>
    <m/>
    <m/>
    <m/>
    <m/>
    <m/>
    <n v="102489437"/>
    <n v="56092645"/>
    <n v="0"/>
    <n v="0"/>
    <n v="0"/>
    <n v="0"/>
    <n v="56092645"/>
    <n v="1"/>
    <n v="82012635.648000002"/>
    <n v="8343473.2240000004"/>
    <n v="0.10173399693932977"/>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
  <r>
    <x v="0"/>
    <s v="Item."/>
    <s v="Asig."/>
    <s v="Sub"/>
    <s v="."/>
    <x v="0"/>
    <n v="431345319.19599998"/>
    <n v="374682003.19599998"/>
    <n v="67417152.464999989"/>
    <n v="0.17993165374888154"/>
    <n v="71372009.155000001"/>
    <n v="0.19048688900508673"/>
    <n v="303309994.04100001"/>
    <n v="0.8095131109949133"/>
    <n v="419435741.50080001"/>
    <n v="64964425.420071997"/>
    <n v="0.1548852875237102"/>
  </r>
  <r>
    <x v="1"/>
    <m/>
    <m/>
    <m/>
    <m/>
    <x v="1"/>
    <n v="20227650.999999996"/>
    <n v="19823097.999999996"/>
    <n v="2700922.9169999999"/>
    <n v="0.13625130224347376"/>
    <n v="2700922.9169999999"/>
    <n v="0.13625130224347376"/>
    <n v="17122175.082999997"/>
    <n v="0.8637486977565263"/>
    <n v="19860541.882000003"/>
    <n v="2669029.993460001"/>
    <n v="0.13438857858551156"/>
  </r>
  <r>
    <x v="2"/>
    <s v="01."/>
    <m/>
    <m/>
    <m/>
    <x v="2"/>
    <n v="803888.11199999996"/>
    <n v="803888.11199999996"/>
    <n v="98376.553"/>
    <n v="0.1223759271116078"/>
    <n v="98376.553"/>
    <n v="0.1223759271116078"/>
    <n v="705511.55900000001"/>
    <n v="0.87762407288839228"/>
    <n v="1024018.7270000001"/>
    <n v="127722.65609199999"/>
    <n v="0.1247268753240291"/>
  </r>
  <r>
    <x v="2"/>
    <m/>
    <s v="001."/>
    <m/>
    <m/>
    <x v="3"/>
    <n v="628990.02500000002"/>
    <n v="628990.02500000002"/>
    <n v="81575.12000000001"/>
    <n v="0.1296922316057397"/>
    <n v="81575.12000000001"/>
    <n v="0.1296922316057397"/>
    <n v="547414.90500000003"/>
    <n v="0.87030776839426027"/>
    <n v="718969.58000000007"/>
    <n v="105570.508214"/>
    <n v="0.14683584834562818"/>
  </r>
  <r>
    <x v="2"/>
    <m/>
    <m/>
    <n v="1"/>
    <s v="21.01.001.001"/>
    <x v="4"/>
    <n v="116011.474"/>
    <n v="116011.474"/>
    <n v="16600.356"/>
    <n v="0.14309236343294801"/>
    <n v="16600.356"/>
    <n v="0.14309236343294801"/>
    <n v="99411.118000000002"/>
    <n v="0.85690763656705193"/>
    <n v="160613.88"/>
    <n v="22434.928963999999"/>
    <n v="0.13968237965485922"/>
  </r>
  <r>
    <x v="2"/>
    <m/>
    <m/>
    <n v="2"/>
    <s v="21.01.001.002"/>
    <x v="5"/>
    <n v="16073.669"/>
    <n v="16073.669"/>
    <n v="2131.1280000000002"/>
    <n v="0.13258503705656749"/>
    <n v="2131.1280000000002"/>
    <n v="0.13258503705656749"/>
    <n v="13942.540999999999"/>
    <n v="0.86741496294343245"/>
    <n v="17297.2"/>
    <n v="3119.6448420000006"/>
    <n v="0.18035548192771086"/>
  </r>
  <r>
    <x v="2"/>
    <m/>
    <m/>
    <n v="3"/>
    <s v="21.01.001.003"/>
    <x v="6"/>
    <n v="85149.134999999995"/>
    <n v="85149.134999999995"/>
    <n v="12323.378000000001"/>
    <n v="0.14472698988662658"/>
    <n v="12323.378000000001"/>
    <n v="0.14472698988662658"/>
    <n v="72825.756999999998"/>
    <n v="0.85527301011337342"/>
    <n v="91977.34"/>
    <n v="16270.352763999999"/>
    <n v="0.17689523054265321"/>
  </r>
  <r>
    <x v="2"/>
    <m/>
    <m/>
    <n v="4"/>
    <s v="21.01.001.004"/>
    <x v="7"/>
    <n v="163.035"/>
    <n v="163.035"/>
    <n v="0"/>
    <n v="0"/>
    <n v="0"/>
    <n v="0"/>
    <n v="163.035"/>
    <n v="1"/>
    <n v="0"/>
    <n v="0"/>
    <s v="0.00%"/>
  </r>
  <r>
    <x v="2"/>
    <m/>
    <m/>
    <n v="7"/>
    <s v="21.01.001.007"/>
    <x v="8"/>
    <n v="9786.4390000000003"/>
    <n v="9786.4390000000003"/>
    <n v="1701.01"/>
    <n v="0.17381296710683017"/>
    <n v="1701.01"/>
    <n v="0.17381296710683017"/>
    <n v="8085.4290000000001"/>
    <n v="0.82618703289316986"/>
    <n v="10034.460000000001"/>
    <n v="1691.962088"/>
    <n v="0.16861516095534784"/>
  </r>
  <r>
    <x v="2"/>
    <m/>
    <m/>
    <n v="12"/>
    <s v="21.01.001.012"/>
    <x v="9"/>
    <n v="2224.8789999999999"/>
    <n v="2224.8789999999999"/>
    <n v="371.97"/>
    <n v="0.16718662003641549"/>
    <n v="371.97"/>
    <n v="0.16718662003641549"/>
    <n v="1852.9089999999999"/>
    <n v="0.83281337996358451"/>
    <n v="2292.4"/>
    <n v="387.59274000000005"/>
    <n v="0.16907727272727274"/>
  </r>
  <r>
    <x v="2"/>
    <m/>
    <m/>
    <n v="13"/>
    <s v="21.01.001.013"/>
    <x v="10"/>
    <n v="53254.192000000003"/>
    <n v="53254.192000000003"/>
    <n v="7738.2860000000001"/>
    <n v="0.14530848576202227"/>
    <n v="7738.2860000000001"/>
    <n v="0.14530848576202227"/>
    <n v="45515.906000000003"/>
    <n v="0.85469151423797773"/>
    <n v="54163.16"/>
    <n v="8028.2411320000001"/>
    <n v="0.1482232781839169"/>
  </r>
  <r>
    <x v="2"/>
    <m/>
    <m/>
    <n v="14"/>
    <s v="21.01.001.014"/>
    <x v="11"/>
    <n v="78237.198999999993"/>
    <n v="78237.198999999993"/>
    <n v="10732.698"/>
    <n v="0.13718152154194582"/>
    <n v="10732.698"/>
    <n v="0.13718152154194582"/>
    <n v="67504.500999999989"/>
    <n v="0.86281847845805415"/>
    <n v="83016.14"/>
    <n v="14523.095904000002"/>
    <n v="0.1749430400401657"/>
  </r>
  <r>
    <x v="2"/>
    <m/>
    <m/>
    <n v="15"/>
    <s v="21.01.001.015"/>
    <x v="12"/>
    <n v="193572.617"/>
    <n v="193572.617"/>
    <n v="27884.982"/>
    <n v="0.14405437314514377"/>
    <n v="27884.982"/>
    <n v="0.14405437314514377"/>
    <n v="165687.63500000001"/>
    <n v="0.85594562685485631"/>
    <n v="204065.28"/>
    <n v="37034.505583999999"/>
    <n v="0.18148361928104575"/>
  </r>
  <r>
    <x v="2"/>
    <m/>
    <m/>
    <n v="22"/>
    <s v="21.01.001.022"/>
    <x v="13"/>
    <n v="62483.360999999997"/>
    <n v="62483.360999999997"/>
    <n v="0"/>
    <n v="0"/>
    <n v="0"/>
    <n v="0"/>
    <n v="62483.360999999997"/>
    <n v="1"/>
    <n v="65781.460000000006"/>
    <n v="0"/>
    <n v="0"/>
  </r>
  <r>
    <x v="2"/>
    <m/>
    <m/>
    <n v="39"/>
    <s v="21.01.001.039"/>
    <x v="14"/>
    <n v="12034.025"/>
    <n v="12034.025"/>
    <n v="2091.3119999999999"/>
    <n v="0.17378325207069123"/>
    <n v="2091.3119999999999"/>
    <n v="0.17378325207069123"/>
    <n v="9942.7129999999997"/>
    <n v="0.82621674792930877"/>
    <n v="11649.560000000001"/>
    <n v="2080.1841960000002"/>
    <n v="0.17856332737030411"/>
  </r>
  <r>
    <x v="2"/>
    <m/>
    <m/>
    <n v="998"/>
    <s v="21.01.001.0998"/>
    <x v="15"/>
    <n v="0"/>
    <n v="0"/>
    <n v="0"/>
    <s v="0.00%"/>
    <n v="0"/>
    <n v="0"/>
    <n v="0"/>
    <n v="0"/>
    <n v="18078.7"/>
    <n v="0"/>
    <n v="0"/>
  </r>
  <r>
    <x v="2"/>
    <m/>
    <m/>
    <n v="999"/>
    <s v="21.01.001.0999"/>
    <x v="16"/>
    <n v="0"/>
    <n v="0"/>
    <n v="0"/>
    <s v="0.00%"/>
    <n v="0"/>
    <n v="0"/>
    <n v="0"/>
    <n v="0"/>
    <n v="0"/>
    <n v="0"/>
    <s v="0.00%"/>
  </r>
  <r>
    <x v="2"/>
    <m/>
    <s v="002."/>
    <m/>
    <m/>
    <x v="17"/>
    <n v="19540.34"/>
    <n v="19540.34"/>
    <n v="2438.2159999999999"/>
    <n v="0.12477858624773161"/>
    <n v="2438.2159999999999"/>
    <n v="0.12477858624773161"/>
    <n v="17102.124"/>
    <n v="0.87522141375226836"/>
    <n v="22653.079999999998"/>
    <n v="3544.3702939999998"/>
    <n v="0.15646306347746092"/>
  </r>
  <r>
    <x v="2"/>
    <m/>
    <m/>
    <n v="1"/>
    <s v="21.01.002.001"/>
    <x v="18"/>
    <n v="1667.615"/>
    <n v="1667.615"/>
    <n v="130.50899999999999"/>
    <n v="7.8260869565217384E-2"/>
    <n v="130.50899999999999"/>
    <n v="7.8260869565217384E-2"/>
    <n v="1537.106"/>
    <n v="0.92173913043478262"/>
    <n v="1635.94"/>
    <n v="362.641008"/>
    <n v="0.22167133757961782"/>
  </r>
  <r>
    <x v="2"/>
    <m/>
    <m/>
    <n v="2"/>
    <s v="21.01.002.002"/>
    <x v="19"/>
    <n v="17872.724999999999"/>
    <n v="17872.724999999999"/>
    <n v="2307.7069999999999"/>
    <n v="0.12911892282794035"/>
    <n v="2307.7069999999999"/>
    <n v="0.12911892282794035"/>
    <n v="15565.017999999998"/>
    <n v="0.87088107717205965"/>
    <n v="21017.14"/>
    <n v="3181.7292859999998"/>
    <n v="0.15138735746157658"/>
  </r>
  <r>
    <x v="2"/>
    <m/>
    <s v="003."/>
    <m/>
    <m/>
    <x v="20"/>
    <n v="56619.78"/>
    <n v="56619.78"/>
    <n v="0"/>
    <n v="0"/>
    <n v="0"/>
    <n v="0"/>
    <n v="56619.78"/>
    <n v="1"/>
    <n v="61217.5"/>
    <n v="0"/>
    <n v="0"/>
  </r>
  <r>
    <x v="2"/>
    <m/>
    <m/>
    <n v="1"/>
    <s v="21.01.003.001"/>
    <x v="21"/>
    <n v="30187.928"/>
    <n v="30187.928"/>
    <n v="0"/>
    <n v="0"/>
    <n v="0"/>
    <n v="0"/>
    <n v="30187.928"/>
    <n v="1"/>
    <n v="31885.200000000001"/>
    <n v="0"/>
    <n v="0"/>
  </r>
  <r>
    <x v="2"/>
    <m/>
    <m/>
    <n v="2"/>
    <s v="21.01.003.002"/>
    <x v="22"/>
    <n v="26431.851999999999"/>
    <n v="26431.851999999999"/>
    <n v="0"/>
    <n v="0"/>
    <n v="0"/>
    <n v="0"/>
    <n v="26431.851999999999"/>
    <n v="1"/>
    <n v="29332.3"/>
    <n v="0"/>
    <n v="0"/>
  </r>
  <r>
    <x v="2"/>
    <m/>
    <m/>
    <n v="3"/>
    <s v="21.01.003.003"/>
    <x v="23"/>
    <n v="0"/>
    <n v="0"/>
    <n v="0"/>
    <s v="0.00%"/>
    <n v="0"/>
    <n v="0"/>
    <n v="0"/>
    <n v="0"/>
    <n v="0"/>
    <n v="0"/>
    <s v="0.00%"/>
  </r>
  <r>
    <x v="2"/>
    <m/>
    <s v="004."/>
    <m/>
    <m/>
    <x v="24"/>
    <n v="97527.415999999997"/>
    <n v="97527.415999999997"/>
    <n v="14144.813"/>
    <n v="0.14503422299223021"/>
    <n v="14144.813"/>
    <n v="0.14503422299223021"/>
    <n v="83382.603000000003"/>
    <n v="0.85496577700776988"/>
    <n v="220021.94700000001"/>
    <n v="18607.777583999999"/>
    <n v="8.4572370337219122E-2"/>
  </r>
  <r>
    <x v="2"/>
    <m/>
    <m/>
    <n v="4"/>
    <s v="21.01.004.004"/>
    <x v="25"/>
    <n v="89789.216"/>
    <n v="89789.216"/>
    <n v="13039.422"/>
    <n v="0.14522258441370064"/>
    <n v="13039.422"/>
    <n v="0.14522258441370064"/>
    <n v="76749.793999999994"/>
    <n v="0.85477741558629927"/>
    <n v="211675.527"/>
    <n v="16984.29782"/>
    <n v="8.0237418376664774E-2"/>
  </r>
  <r>
    <x v="2"/>
    <m/>
    <m/>
    <n v="5"/>
    <s v="21.01.004.005"/>
    <x v="26"/>
    <n v="138.19999999999999"/>
    <n v="138.19999999999999"/>
    <n v="48.972000000000001"/>
    <n v="0.35435600578871207"/>
    <n v="48.972000000000001"/>
    <n v="0.35435600578871207"/>
    <n v="89.22799999999998"/>
    <n v="0.64564399421128793"/>
    <n v="625.20000000000005"/>
    <n v="0"/>
    <n v="0"/>
  </r>
  <r>
    <x v="2"/>
    <m/>
    <m/>
    <n v="6"/>
    <s v="21.01.004.006"/>
    <x v="27"/>
    <n v="5600"/>
    <n v="5600"/>
    <n v="1056.4189999999999"/>
    <n v="0.18864624999999999"/>
    <n v="1056.4190000000001"/>
    <n v="0.18864625000000002"/>
    <n v="4543.5810000000001"/>
    <n v="0.81135374999999998"/>
    <n v="5637.22"/>
    <n v="1623.4797640000002"/>
    <n v="0.28799297597042517"/>
  </r>
  <r>
    <x v="2"/>
    <m/>
    <m/>
    <n v="7"/>
    <s v="21.01.004.007"/>
    <x v="28"/>
    <n v="2000"/>
    <n v="2000"/>
    <n v="0"/>
    <n v="0"/>
    <n v="0"/>
    <n v="0"/>
    <n v="2000"/>
    <n v="1"/>
    <n v="2084"/>
    <n v="0"/>
    <n v="0"/>
  </r>
  <r>
    <x v="2"/>
    <m/>
    <s v="005."/>
    <m/>
    <m/>
    <x v="24"/>
    <n v="1210.5509999999999"/>
    <n v="1210.5509999999999"/>
    <n v="218.404"/>
    <n v="0.18041701671387658"/>
    <n v="218.404"/>
    <n v="0.18041701671387658"/>
    <n v="992.14699999999993"/>
    <n v="0.81958298328612345"/>
    <n v="1156.6199999999999"/>
    <n v="0"/>
    <n v="0"/>
  </r>
  <r>
    <x v="2"/>
    <m/>
    <m/>
    <n v="1"/>
    <s v="21.01.005.001"/>
    <x v="29"/>
    <n v="344.95400000000001"/>
    <n v="344.95400000000001"/>
    <n v="0"/>
    <n v="0"/>
    <n v="0"/>
    <n v="0"/>
    <n v="344.95400000000001"/>
    <n v="1"/>
    <n v="10.42"/>
    <n v="0"/>
    <n v="0"/>
  </r>
  <r>
    <x v="2"/>
    <m/>
    <m/>
    <n v="2"/>
    <s v="21.01.005.002"/>
    <x v="30"/>
    <n v="326.529"/>
    <n v="326.529"/>
    <n v="0"/>
    <n v="0"/>
    <n v="0"/>
    <n v="0"/>
    <n v="326.529"/>
    <n v="1"/>
    <n v="333.44"/>
    <n v="0"/>
    <n v="0"/>
  </r>
  <r>
    <x v="2"/>
    <m/>
    <m/>
    <n v="3"/>
    <s v="21.01.005.003"/>
    <x v="31"/>
    <n v="539.06799999999998"/>
    <n v="539.06799999999998"/>
    <n v="218.404"/>
    <n v="0.40515111266111142"/>
    <n v="218.404"/>
    <n v="0.40515111266111142"/>
    <n v="320.66399999999999"/>
    <n v="0.59484888733888863"/>
    <n v="812.76"/>
    <n v="0"/>
    <n v="0"/>
  </r>
  <r>
    <x v="2"/>
    <s v="02."/>
    <m/>
    <m/>
    <m/>
    <x v="32"/>
    <n v="18291793.324999996"/>
    <n v="17887240.324999996"/>
    <n v="2445376.3810000001"/>
    <n v="0.13671065723773132"/>
    <n v="2445376.3810000001"/>
    <n v="0.13671065723773132"/>
    <n v="15441863.943999998"/>
    <n v="0.86328934276226887"/>
    <n v="17717147.361000001"/>
    <n v="2352332.7379660006"/>
    <n v="0.13277152862339961"/>
  </r>
  <r>
    <x v="2"/>
    <m/>
    <s v="001."/>
    <m/>
    <m/>
    <x v="3"/>
    <n v="15545567.981999999"/>
    <n v="15141014.981999999"/>
    <n v="2272792.966"/>
    <n v="0.15010836253064611"/>
    <n v="2272792.966"/>
    <n v="0.15010836253064611"/>
    <n v="12868222.016000001"/>
    <n v="0.84989163746935403"/>
    <n v="15194902.48"/>
    <n v="2203205.1230200003"/>
    <n v="0.14499633188958777"/>
  </r>
  <r>
    <x v="2"/>
    <m/>
    <m/>
    <n v="1"/>
    <s v="21.02.001.001"/>
    <x v="33"/>
    <n v="3651832.827"/>
    <n v="3247279.827"/>
    <n v="544172.821"/>
    <n v="0.16757804993440745"/>
    <n v="544172.821"/>
    <n v="0.16757804993440745"/>
    <n v="2703107.0060000001"/>
    <n v="0.8324219500655925"/>
    <n v="3454192.7672560001"/>
    <n v="527455.10559800011"/>
    <n v="0.15269996237558242"/>
  </r>
  <r>
    <x v="2"/>
    <m/>
    <m/>
    <n v="2"/>
    <s v="21.02.001.002"/>
    <x v="5"/>
    <n v="144871.696"/>
    <n v="144871.696"/>
    <n v="25449.965"/>
    <n v="0.17567244467131798"/>
    <n v="25449.965"/>
    <n v="0.17567244467131798"/>
    <n v="119421.731"/>
    <n v="0.82432755532868207"/>
    <n v="136752.08000000002"/>
    <n v="25363.784648000001"/>
    <n v="0.18547275220969214"/>
  </r>
  <r>
    <x v="2"/>
    <m/>
    <m/>
    <n v="3"/>
    <s v="21.02.001.003"/>
    <x v="6"/>
    <n v="2214042.253"/>
    <n v="2214042.253"/>
    <n v="386532.06199999998"/>
    <n v="0.1745820620524535"/>
    <n v="386532.06199999998"/>
    <n v="0.1745820620524535"/>
    <n v="1827510.1910000001"/>
    <n v="0.82541793794754648"/>
    <n v="2170600.62"/>
    <n v="374107.34272000002"/>
    <n v="0.17235199293364248"/>
  </r>
  <r>
    <x v="2"/>
    <m/>
    <m/>
    <n v="4"/>
    <s v="21.02.001.004"/>
    <x v="7"/>
    <n v="289402.63799999998"/>
    <n v="289402.63799999998"/>
    <n v="49665.553"/>
    <n v="0.17161403000065259"/>
    <n v="49665.553"/>
    <n v="0.17161403000065259"/>
    <n v="239737.08499999996"/>
    <n v="0.82838596999934733"/>
    <n v="288738.2"/>
    <n v="49455.466520000002"/>
    <n v="0.17128134247564056"/>
  </r>
  <r>
    <x v="2"/>
    <m/>
    <m/>
    <n v="6"/>
    <s v="21.02.001.006"/>
    <x v="34"/>
    <n v="0"/>
    <n v="0"/>
    <n v="0"/>
    <s v="0.00%"/>
    <n v="0"/>
    <n v="0"/>
    <n v="0"/>
    <n v="0"/>
    <n v="0"/>
    <n v="0"/>
    <s v="0.00%"/>
  </r>
  <r>
    <x v="2"/>
    <m/>
    <m/>
    <n v="7"/>
    <s v="21.02.001.007"/>
    <x v="35"/>
    <n v="149822.50099999999"/>
    <n v="149822.50099999999"/>
    <n v="18985.718000000001"/>
    <n v="0.12672140615247107"/>
    <n v="18985.718000000001"/>
    <n v="0.12672140615247107"/>
    <n v="130836.783"/>
    <n v="0.87327859384752904"/>
    <n v="147557.62"/>
    <n v="26882.996682000005"/>
    <n v="0.18218643457382958"/>
  </r>
  <r>
    <x v="2"/>
    <m/>
    <m/>
    <n v="13"/>
    <s v="21.02.001.013"/>
    <x v="11"/>
    <n v="2483515.6749999998"/>
    <n v="2483515.6749999998"/>
    <n v="368612.16200000001"/>
    <n v="0.14842352947903178"/>
    <n v="368612.16200000001"/>
    <n v="0.14842352947903178"/>
    <n v="2114903.5129999998"/>
    <n v="0.85157647052096819"/>
    <n v="2422754.2000000002"/>
    <n v="357322.70877199998"/>
    <n v="0.14748615801470902"/>
  </r>
  <r>
    <x v="2"/>
    <m/>
    <m/>
    <n v="14"/>
    <s v="21.02.001.014"/>
    <x v="12"/>
    <n v="4986131.4129999997"/>
    <n v="4986131.4129999997"/>
    <n v="877917.02899999998"/>
    <n v="0.17607177915749811"/>
    <n v="877917.02899999998"/>
    <n v="0.17607177915749811"/>
    <n v="4108214.3839999996"/>
    <n v="0.82392822084250184"/>
    <n v="4912311.0200000005"/>
    <n v="841892.76533600001"/>
    <n v="0.1713842551720188"/>
  </r>
  <r>
    <x v="2"/>
    <m/>
    <m/>
    <n v="21"/>
    <s v="21.02.001.021"/>
    <x v="13"/>
    <n v="1569726.9240000001"/>
    <n v="1569726.9240000001"/>
    <n v="0"/>
    <n v="0"/>
    <n v="0"/>
    <n v="0"/>
    <n v="1569726.9240000001"/>
    <n v="1"/>
    <n v="1546578.08"/>
    <n v="0"/>
    <n v="0"/>
  </r>
  <r>
    <x v="2"/>
    <m/>
    <m/>
    <n v="37"/>
    <s v="21.02.001.037"/>
    <x v="36"/>
    <n v="52034.044999999998"/>
    <n v="52034.044999999998"/>
    <n v="0"/>
    <n v="0"/>
    <n v="0"/>
    <n v="0"/>
    <n v="52034.044999999998"/>
    <n v="1"/>
    <n v="0"/>
    <n v="0"/>
    <s v="0.00%"/>
  </r>
  <r>
    <x v="2"/>
    <m/>
    <m/>
    <n v="38"/>
    <s v="21.02.001.038"/>
    <x v="37"/>
    <n v="4188.01"/>
    <n v="4188.01"/>
    <n v="1457.6559999999999"/>
    <n v="0.34805456529473422"/>
    <n v="1457.6559999999999"/>
    <n v="0.34805456529473422"/>
    <n v="2730.3540000000003"/>
    <n v="0.65194543470526578"/>
    <n v="724.95274400000005"/>
    <n v="724.95274400000005"/>
    <n v="1"/>
  </r>
  <r>
    <x v="2"/>
    <m/>
    <m/>
    <n v="998"/>
    <s v="21.02.001.0998"/>
    <x v="15"/>
    <n v="0"/>
    <n v="0"/>
    <n v="0"/>
    <s v="0.00%"/>
    <n v="0"/>
    <n v="0"/>
    <n v="0"/>
    <n v="0"/>
    <n v="114692.94"/>
    <n v="0"/>
    <n v="0"/>
  </r>
  <r>
    <x v="2"/>
    <m/>
    <m/>
    <n v="999"/>
    <s v="21.02.001.0999"/>
    <x v="16"/>
    <n v="0"/>
    <n v="0"/>
    <n v="0"/>
    <s v="0.00%"/>
    <n v="0"/>
    <n v="0"/>
    <n v="0"/>
    <n v="0"/>
    <n v="0"/>
    <n v="0"/>
    <s v="0.00%"/>
  </r>
  <r>
    <x v="2"/>
    <m/>
    <s v="002."/>
    <m/>
    <m/>
    <x v="17"/>
    <n v="611349.11"/>
    <n v="611349.11"/>
    <n v="85428.329999999987"/>
    <n v="0.1397373916190047"/>
    <n v="85428.329999999987"/>
    <n v="0.1397373916190047"/>
    <n v="525920.78"/>
    <n v="0.86026260838099533"/>
    <n v="602880.36"/>
    <n v="88912.614809999999"/>
    <n v="0.14747970030073629"/>
  </r>
  <r>
    <x v="2"/>
    <m/>
    <m/>
    <n v="1"/>
    <s v="21.02.002.001"/>
    <x v="18"/>
    <n v="45228.618999999999"/>
    <n v="45228.618999999999"/>
    <n v="4263.2939999999999"/>
    <n v="9.4260981083680667E-2"/>
    <n v="4263.2939999999999"/>
    <n v="9.4260981083680667E-2"/>
    <n v="40965.324999999997"/>
    <n v="0.90573901891631925"/>
    <n v="43930.720000000001"/>
    <n v="8355.8532260000011"/>
    <n v="0.19020524193548388"/>
  </r>
  <r>
    <x v="2"/>
    <m/>
    <m/>
    <n v="2"/>
    <s v="21.02.002.002"/>
    <x v="19"/>
    <n v="566120.49100000004"/>
    <n v="566120.49100000004"/>
    <n v="81165.035999999993"/>
    <n v="0.14337060270796662"/>
    <n v="81165.035999999993"/>
    <n v="0.14337060270796662"/>
    <n v="484955.45500000007"/>
    <n v="0.85662939729203347"/>
    <n v="558949.64"/>
    <n v="80556.761583999993"/>
    <n v="0.14412168077252896"/>
  </r>
  <r>
    <x v="2"/>
    <m/>
    <s v="003."/>
    <m/>
    <m/>
    <x v="20"/>
    <n v="1544483.2579999999"/>
    <n v="1544483.2579999999"/>
    <n v="0"/>
    <n v="0"/>
    <n v="0"/>
    <n v="0"/>
    <n v="1544483.2579999999"/>
    <n v="1"/>
    <n v="1485141.7600000002"/>
    <n v="0"/>
    <n v="0"/>
  </r>
  <r>
    <x v="2"/>
    <m/>
    <m/>
    <n v="1"/>
    <s v="21.02.003.001"/>
    <x v="21"/>
    <n v="795328.06599999999"/>
    <n v="795328.06599999999"/>
    <n v="0"/>
    <n v="0"/>
    <n v="0"/>
    <n v="0"/>
    <n v="795328.06599999999"/>
    <n v="1"/>
    <n v="783604.84000000008"/>
    <n v="0"/>
    <n v="0"/>
  </r>
  <r>
    <x v="2"/>
    <m/>
    <m/>
    <n v="2"/>
    <s v="21.02.003.002"/>
    <x v="22"/>
    <n v="749155.19200000004"/>
    <n v="749155.19200000004"/>
    <n v="0"/>
    <n v="0"/>
    <n v="0"/>
    <n v="0"/>
    <n v="749155.19200000004"/>
    <n v="1"/>
    <n v="701536.92"/>
    <n v="0"/>
    <n v="0"/>
  </r>
  <r>
    <x v="2"/>
    <m/>
    <m/>
    <n v="3"/>
    <s v="21.02.003.003"/>
    <x v="23"/>
    <n v="0"/>
    <n v="0"/>
    <n v="0"/>
    <s v="0.00%"/>
    <n v="0"/>
    <n v="0"/>
    <n v="0"/>
    <n v="0"/>
    <n v="0"/>
    <n v="0"/>
    <s v="0.00%"/>
  </r>
  <r>
    <x v="2"/>
    <m/>
    <s v="004."/>
    <m/>
    <m/>
    <x v="24"/>
    <n v="471035.58399999997"/>
    <n v="471035.58399999997"/>
    <n v="63076.043999999994"/>
    <n v="0.13390929717955236"/>
    <n v="63076.043999999994"/>
    <n v="0.13390929717955236"/>
    <n v="407959.54"/>
    <n v="0.86609070282044764"/>
    <n v="344246.06100000005"/>
    <n v="60215.00013600001"/>
    <n v="0.17491848697144571"/>
  </r>
  <r>
    <x v="2"/>
    <m/>
    <m/>
    <n v="4"/>
    <s v="21.02.004.004"/>
    <x v="25"/>
    <n v="338878.78399999999"/>
    <n v="338878.78399999999"/>
    <n v="37278.487000000001"/>
    <n v="0.11000537289463362"/>
    <n v="37278.487000000001"/>
    <n v="0.11000537289463362"/>
    <n v="301600.29699999996"/>
    <n v="0.88999462710536636"/>
    <n v="211675.527"/>
    <n v="38448.134884000006"/>
    <n v="0.18163712843384114"/>
  </r>
  <r>
    <x v="2"/>
    <m/>
    <m/>
    <n v="5"/>
    <s v="21.02.004.005"/>
    <x v="26"/>
    <n v="56627.8"/>
    <n v="56627.8"/>
    <n v="8908.9330000000009"/>
    <n v="0.15732437071544367"/>
    <n v="8908.9330000000009"/>
    <n v="0.15732437071544367"/>
    <n v="47718.866999999998"/>
    <n v="0.8426756292845563"/>
    <n v="58387.428"/>
    <n v="6163.2872459999999"/>
    <n v="0.10555846450369419"/>
  </r>
  <r>
    <x v="2"/>
    <m/>
    <m/>
    <n v="6"/>
    <s v="21.02.004.006"/>
    <x v="27"/>
    <n v="75029"/>
    <n v="75029"/>
    <n v="16888.624"/>
    <n v="0.2250946167481907"/>
    <n v="16888.624"/>
    <n v="0.2250946167481907"/>
    <n v="58140.376000000004"/>
    <n v="0.77490538325180935"/>
    <n v="73453.706000000006"/>
    <n v="15603.578006000002"/>
    <n v="0.21242737576780674"/>
  </r>
  <r>
    <x v="2"/>
    <m/>
    <m/>
    <n v="7"/>
    <s v="21.02.004.007"/>
    <x v="28"/>
    <n v="500"/>
    <n v="500"/>
    <n v="0"/>
    <n v="0"/>
    <n v="0"/>
    <n v="0"/>
    <n v="500"/>
    <n v="1"/>
    <n v="729.4"/>
    <n v="0"/>
    <n v="0"/>
  </r>
  <r>
    <x v="2"/>
    <m/>
    <s v="005."/>
    <m/>
    <m/>
    <x v="24"/>
    <n v="119357.391"/>
    <n v="119357.391"/>
    <n v="24079.041000000001"/>
    <n v="0.20173900248875246"/>
    <n v="24079.041000000001"/>
    <n v="0.20173900248875246"/>
    <n v="95278.349999999991"/>
    <n v="0.79826099751124746"/>
    <n v="89976.700000000012"/>
    <n v="0"/>
    <n v="0"/>
  </r>
  <r>
    <x v="2"/>
    <m/>
    <m/>
    <n v="1"/>
    <s v="21.02.005.001"/>
    <x v="29"/>
    <n v="38806.478999999999"/>
    <n v="38806.478999999999"/>
    <n v="0"/>
    <n v="0"/>
    <n v="0"/>
    <n v="0"/>
    <n v="38806.478999999999"/>
    <n v="1"/>
    <n v="10.42"/>
    <n v="0"/>
    <n v="0"/>
  </r>
  <r>
    <x v="2"/>
    <m/>
    <m/>
    <n v="2"/>
    <s v="21.02.005.002"/>
    <x v="30"/>
    <n v="18445.887999999999"/>
    <n v="18445.887999999999"/>
    <n v="0"/>
    <n v="0"/>
    <n v="0"/>
    <n v="0"/>
    <n v="18445.887999999999"/>
    <n v="1"/>
    <n v="18297.52"/>
    <n v="0"/>
    <n v="0"/>
  </r>
  <r>
    <x v="2"/>
    <m/>
    <m/>
    <n v="3"/>
    <s v="21.02.005.003"/>
    <x v="31"/>
    <n v="62105.023999999998"/>
    <n v="62105.023999999998"/>
    <n v="24079.041000000001"/>
    <n v="0.38771486506470076"/>
    <n v="24079.041000000001"/>
    <n v="0.38771486506470076"/>
    <n v="38025.982999999993"/>
    <n v="0.61228513493529924"/>
    <n v="71668.760000000009"/>
    <n v="0"/>
    <n v="0"/>
  </r>
  <r>
    <x v="2"/>
    <s v="03."/>
    <m/>
    <m/>
    <m/>
    <x v="38"/>
    <n v="1131969.5630000001"/>
    <n v="1131969.5630000001"/>
    <n v="157169.98299999998"/>
    <n v="0.13884647444358889"/>
    <n v="157169.98300000001"/>
    <n v="0.13884647444358891"/>
    <n v="974799.58000000007"/>
    <n v="0.86115352555641111"/>
    <n v="1119375.7940000002"/>
    <n v="188974.59940200002"/>
    <n v="0.1688214095882084"/>
  </r>
  <r>
    <x v="2"/>
    <m/>
    <s v="001."/>
    <m/>
    <m/>
    <x v="39"/>
    <n v="1038046"/>
    <n v="1038046"/>
    <n v="150193.90899999999"/>
    <n v="0.14468906869252421"/>
    <n v="150193.90900000001"/>
    <n v="0.14468906869252424"/>
    <n v="887852.09100000001"/>
    <n v="0.85531093130747582"/>
    <n v="1051461.3600000001"/>
    <n v="169127.72335000001"/>
    <n v="0.16085015558726762"/>
  </r>
  <r>
    <x v="2"/>
    <m/>
    <m/>
    <n v="1"/>
    <s v="21.03.001.001"/>
    <x v="40"/>
    <n v="1018733"/>
    <n v="1018733"/>
    <n v="148388.24599999998"/>
    <n v="0.14565960462653119"/>
    <n v="148388.24600000001"/>
    <n v="0.14565960462653121"/>
    <n v="870344.75399999996"/>
    <n v="0.85434039537346873"/>
    <n v="1033317.0140000001"/>
    <n v="165541.44069000002"/>
    <n v="0.16020392430120192"/>
  </r>
  <r>
    <x v="2"/>
    <m/>
    <m/>
    <n v="2"/>
    <s v="21.03.001.002"/>
    <x v="41"/>
    <n v="19313"/>
    <n v="19313"/>
    <n v="1805.663"/>
    <n v="9.3494692694040288E-2"/>
    <n v="1805.663"/>
    <n v="9.3494692694040288E-2"/>
    <n v="17507.337"/>
    <n v="0.90650530730595968"/>
    <n v="18144.346000000001"/>
    <n v="3586.2826599999999"/>
    <n v="0.19765290300350311"/>
  </r>
  <r>
    <x v="2"/>
    <m/>
    <s v="005"/>
    <m/>
    <s v="21.03.005"/>
    <x v="42"/>
    <n v="93923.562999999995"/>
    <n v="93923.562999999995"/>
    <n v="6976.0740000000005"/>
    <n v="7.4273949764874239E-2"/>
    <n v="6976.0739999999996"/>
    <n v="7.4273949764874225E-2"/>
    <n v="86947.489000000001"/>
    <n v="0.92572605023512589"/>
    <n v="67914.434000000008"/>
    <n v="19846.876052"/>
    <n v="0.29223354864446044"/>
  </r>
  <r>
    <x v="2"/>
    <m/>
    <m/>
    <m/>
    <s v="21.03.007"/>
    <x v="43"/>
    <n v="0"/>
    <n v="0"/>
    <n v="0"/>
    <s v="0.00%"/>
    <n v="0"/>
    <n v="0"/>
    <n v="0"/>
    <n v="0"/>
    <n v="0"/>
    <n v="0"/>
    <s v="0.00%"/>
  </r>
  <r>
    <x v="2"/>
    <m/>
    <s v=".999"/>
    <m/>
    <s v="21.03.999"/>
    <x v="44"/>
    <n v="0"/>
    <n v="0"/>
    <n v="0"/>
    <s v="0.00%"/>
    <n v="0"/>
    <n v="0"/>
    <n v="0"/>
    <n v="0"/>
    <n v="0"/>
    <n v="0"/>
    <s v="0.00%"/>
  </r>
  <r>
    <x v="3"/>
    <m/>
    <m/>
    <m/>
    <m/>
    <x v="45"/>
    <n v="2943989"/>
    <n v="2796789"/>
    <n v="172037.897"/>
    <n v="6.1512647897285062E-2"/>
    <n v="2312863.0699999998"/>
    <n v="0.82697088339520786"/>
    <n v="483925.93000000011"/>
    <n v="0.17302911660479217"/>
    <n v="2641538.7720000003"/>
    <n v="191538.169482"/>
    <n v="7.2510073110522558E-2"/>
  </r>
  <r>
    <x v="2"/>
    <s v=".01"/>
    <m/>
    <m/>
    <s v="22.01"/>
    <x v="46"/>
    <n v="0"/>
    <n v="150"/>
    <n v="0"/>
    <n v="0"/>
    <n v="149.999"/>
    <n v="0.99999333333333329"/>
    <n v="1.0000000000047748E-3"/>
    <n v="6.666666666698499E-6"/>
    <n v="0"/>
    <n v="0"/>
    <n v="0"/>
  </r>
  <r>
    <x v="2"/>
    <m/>
    <s v=".001"/>
    <m/>
    <s v="22.01.001"/>
    <x v="47"/>
    <n v="0"/>
    <n v="150"/>
    <n v="0"/>
    <n v="0"/>
    <n v="149.999"/>
    <n v="0.99999333333333329"/>
    <n v="1.0000000000047748E-3"/>
    <n v="6.666666666698499E-6"/>
    <n v="0"/>
    <n v="0"/>
    <n v="0"/>
  </r>
  <r>
    <x v="2"/>
    <s v=".02"/>
    <m/>
    <m/>
    <s v="22.02"/>
    <x v="48"/>
    <n v="23000"/>
    <n v="23000"/>
    <n v="7179.3919999999998"/>
    <n v="0.31214747826086958"/>
    <n v="7179.3919999999998"/>
    <n v="0.31214747826086958"/>
    <n v="15820.608"/>
    <n v="0.68785252173913047"/>
    <n v="28011.907818"/>
    <n v="6446.1600280000002"/>
    <n v="0.2301221348393058"/>
  </r>
  <r>
    <x v="2"/>
    <m/>
    <s v=".001"/>
    <m/>
    <s v="22.02.001"/>
    <x v="49"/>
    <n v="0"/>
    <n v="0"/>
    <n v="0"/>
    <s v="0.00%"/>
    <n v="0"/>
    <n v="0"/>
    <n v="0"/>
    <n v="0"/>
    <n v="0"/>
    <n v="0"/>
    <s v="0.00%"/>
  </r>
  <r>
    <x v="2"/>
    <m/>
    <s v=".002"/>
    <m/>
    <s v="22.02.002"/>
    <x v="50"/>
    <n v="18000"/>
    <n v="18000"/>
    <n v="5947.5680000000002"/>
    <n v="0.33042044444444446"/>
    <n v="5947.5680000000002"/>
    <n v="0.33042044444444446"/>
    <n v="12052.432000000001"/>
    <n v="0.66957955555555559"/>
    <n v="18615.017400000001"/>
    <n v="644.16961000000003"/>
    <n v="3.4604835233729085E-2"/>
  </r>
  <r>
    <x v="2"/>
    <m/>
    <s v=".003"/>
    <m/>
    <s v="22.02.003"/>
    <x v="51"/>
    <n v="5000"/>
    <n v="5000"/>
    <n v="1231.8240000000001"/>
    <n v="0.24636480000000002"/>
    <n v="1231.8240000000001"/>
    <n v="0.24636480000000002"/>
    <n v="3768.1759999999999"/>
    <n v="0.75363519999999995"/>
    <n v="9396.8904180000009"/>
    <n v="5801.9904180000003"/>
    <n v="0.61743727551468819"/>
  </r>
  <r>
    <x v="2"/>
    <s v=".03"/>
    <m/>
    <m/>
    <m/>
    <x v="52"/>
    <n v="0"/>
    <n v="0"/>
    <n v="0"/>
    <s v="0.00%"/>
    <n v="0"/>
    <n v="0"/>
    <n v="0"/>
    <n v="0"/>
    <n v="31260"/>
    <n v="0"/>
    <n v="0"/>
  </r>
  <r>
    <x v="2"/>
    <m/>
    <s v=".001"/>
    <m/>
    <s v="22.03.001"/>
    <x v="53"/>
    <n v="0"/>
    <n v="0"/>
    <n v="0"/>
    <s v="0.00%"/>
    <n v="0"/>
    <n v="0"/>
    <n v="0"/>
    <n v="0"/>
    <n v="31260"/>
    <n v="0"/>
    <n v="0"/>
  </r>
  <r>
    <x v="2"/>
    <s v=".04"/>
    <m/>
    <m/>
    <m/>
    <x v="54"/>
    <n v="35764.204000000005"/>
    <n v="31627.816000000003"/>
    <n v="11880.423999999999"/>
    <n v="0.37563213343596025"/>
    <n v="15818.495000000001"/>
    <n v="0.50014503056423498"/>
    <n v="15809.321"/>
    <n v="0.49985496943576496"/>
    <n v="56491.168266000008"/>
    <n v="5711.1207240000003"/>
    <n v="0.1010975856811465"/>
  </r>
  <r>
    <x v="2"/>
    <m/>
    <s v=".001"/>
    <m/>
    <s v="22.04.001"/>
    <x v="55"/>
    <n v="10321.700000000001"/>
    <n v="6203.9780000000001"/>
    <n v="3342.4780000000001"/>
    <n v="0.53876367711168549"/>
    <n v="3342.4780000000001"/>
    <n v="0.53876367711168549"/>
    <n v="2861.5"/>
    <n v="0.46123632288831456"/>
    <n v="11574.015000000001"/>
    <n v="1668.3430739999999"/>
    <n v="0.14414557731262659"/>
  </r>
  <r>
    <x v="2"/>
    <m/>
    <s v=".002"/>
    <m/>
    <s v="22.04.002"/>
    <x v="56"/>
    <n v="427.21100000000001"/>
    <n v="427.21100000000001"/>
    <n v="427.21100000000001"/>
    <n v="1"/>
    <n v="427.21100000000001"/>
    <n v="1"/>
    <n v="0"/>
    <n v="0"/>
    <n v="0"/>
    <n v="0"/>
    <s v="0.00%"/>
  </r>
  <r>
    <x v="2"/>
    <m/>
    <s v=".003"/>
    <m/>
    <s v="22.04.003"/>
    <x v="57"/>
    <n v="0"/>
    <n v="0"/>
    <n v="0"/>
    <s v="0.00%"/>
    <n v="0"/>
    <n v="0"/>
    <n v="0"/>
    <n v="0"/>
    <n v="0"/>
    <n v="0"/>
    <s v="0.00%"/>
  </r>
  <r>
    <x v="2"/>
    <m/>
    <s v=".004"/>
    <m/>
    <s v="22.04.004"/>
    <x v="58"/>
    <n v="1013.077"/>
    <n v="1013.077"/>
    <n v="0"/>
    <n v="0"/>
    <n v="0"/>
    <n v="0"/>
    <n v="1013.077"/>
    <n v="1"/>
    <n v="327.35472000000004"/>
    <n v="327.35472000000004"/>
    <n v="1"/>
  </r>
  <r>
    <x v="2"/>
    <m/>
    <s v=".005"/>
    <m/>
    <s v="22.04.005"/>
    <x v="59"/>
    <n v="0"/>
    <n v="0"/>
    <n v="0"/>
    <s v="0.00%"/>
    <n v="0"/>
    <n v="0"/>
    <n v="0"/>
    <n v="0"/>
    <n v="714.64528000000007"/>
    <n v="0"/>
    <n v="0"/>
  </r>
  <r>
    <x v="2"/>
    <m/>
    <s v=".007"/>
    <m/>
    <s v="22.04.007"/>
    <x v="60"/>
    <n v="5015.9799999999996"/>
    <n v="4790.88"/>
    <n v="15.98"/>
    <n v="3.3355041245032228E-3"/>
    <n v="15.98"/>
    <n v="3.3355041245032228E-3"/>
    <n v="4774.9000000000005"/>
    <n v="0.99666449587549688"/>
    <n v="15630"/>
    <n v="0"/>
    <n v="0"/>
  </r>
  <r>
    <x v="2"/>
    <m/>
    <s v=".008"/>
    <m/>
    <s v="22.04.008"/>
    <x v="61"/>
    <n v="0"/>
    <n v="0"/>
    <n v="0"/>
    <s v="0.00%"/>
    <n v="0"/>
    <n v="0"/>
    <n v="0"/>
    <n v="0"/>
    <n v="0"/>
    <n v="0"/>
    <s v="0.00%"/>
  </r>
  <r>
    <x v="2"/>
    <m/>
    <s v=".009"/>
    <m/>
    <s v="22.04.009"/>
    <x v="62"/>
    <n v="9200"/>
    <n v="9200"/>
    <n v="5331.2"/>
    <n v="0.57947826086956522"/>
    <n v="7391.5659999999998"/>
    <n v="0.80343108695652177"/>
    <n v="1808.4340000000002"/>
    <n v="0.19656891304347829"/>
    <n v="10498.15"/>
    <n v="82.023114000000007"/>
    <n v="7.8131017369727062E-3"/>
  </r>
  <r>
    <x v="2"/>
    <m/>
    <s v=".010"/>
    <m/>
    <s v="22.04.010"/>
    <x v="63"/>
    <n v="2083.8960000000002"/>
    <n v="2083.8960000000002"/>
    <n v="1386.933"/>
    <n v="0.6655480887721843"/>
    <n v="1843.992"/>
    <n v="0.88487717237328534"/>
    <n v="239.90400000000022"/>
    <n v="0.11512282762671468"/>
    <n v="1563"/>
    <n v="0"/>
    <n v="0"/>
  </r>
  <r>
    <x v="2"/>
    <m/>
    <s v=".011"/>
    <m/>
    <s v="22.04.011"/>
    <x v="64"/>
    <n v="1000"/>
    <n v="1140.9839999999999"/>
    <n v="750.75"/>
    <n v="0.65798468690183209"/>
    <n v="750.75"/>
    <n v="0.65798468690183209"/>
    <n v="390.23399999999992"/>
    <n v="0.34201531309816785"/>
    <n v="5210"/>
    <n v="0"/>
    <n v="0"/>
  </r>
  <r>
    <x v="2"/>
    <m/>
    <s v=".012"/>
    <m/>
    <s v="22.04.012"/>
    <x v="65"/>
    <n v="2293.54"/>
    <n v="2293.54"/>
    <n v="0"/>
    <n v="0"/>
    <n v="0"/>
    <n v="0"/>
    <n v="2293.54"/>
    <n v="1"/>
    <n v="72.94"/>
    <n v="72.94"/>
    <n v="1"/>
  </r>
  <r>
    <x v="2"/>
    <m/>
    <s v=".013"/>
    <m/>
    <s v="22.04.013"/>
    <x v="66"/>
    <n v="4000"/>
    <n v="4000"/>
    <n v="151.62200000000001"/>
    <n v="3.7905500000000002E-2"/>
    <n v="1572.268"/>
    <n v="0.393067"/>
    <n v="2427.732"/>
    <n v="0.60693299999999994"/>
    <n v="9971.0782660000004"/>
    <n v="3560.459816"/>
    <n v="0.35707871516169681"/>
  </r>
  <r>
    <x v="2"/>
    <m/>
    <s v=".999"/>
    <m/>
    <s v="22.04.999"/>
    <x v="67"/>
    <n v="408.8"/>
    <n v="474.25"/>
    <n v="474.25"/>
    <n v="1"/>
    <n v="474.25"/>
    <n v="1"/>
    <n v="0"/>
    <n v="0"/>
    <n v="929.98500000000001"/>
    <n v="0"/>
    <n v="0"/>
  </r>
  <r>
    <x v="2"/>
    <s v=".05"/>
    <m/>
    <m/>
    <m/>
    <x v="68"/>
    <n v="109888.41800000001"/>
    <n v="169842.53899999999"/>
    <n v="37741.698000000004"/>
    <n v="0.22221581367198007"/>
    <n v="151745.48700000002"/>
    <n v="0.89344806014705203"/>
    <n v="18097.051999999996"/>
    <n v="0.10655193985294813"/>
    <n v="175394.65000000002"/>
    <n v="19701.352415999998"/>
    <n v="0.11232584583395215"/>
  </r>
  <r>
    <x v="2"/>
    <m/>
    <s v=".001"/>
    <m/>
    <s v="22.05.001"/>
    <x v="69"/>
    <n v="19300"/>
    <n v="19300"/>
    <n v="2338.6930000000002"/>
    <n v="0.12117580310880829"/>
    <n v="19300"/>
    <n v="1"/>
    <n v="0"/>
    <n v="0"/>
    <n v="12931.220000000001"/>
    <n v="2322.964986"/>
    <n v="0.17964004834810635"/>
  </r>
  <r>
    <x v="2"/>
    <m/>
    <s v=".002"/>
    <m/>
    <s v="22.05.002"/>
    <x v="70"/>
    <n v="16650"/>
    <n v="15459.405000000001"/>
    <n v="2868.0749999999998"/>
    <n v="0.18552298746297155"/>
    <n v="15335.353999999999"/>
    <n v="0.99197569376052952"/>
    <n v="124.0510000000013"/>
    <n v="8.0243062394704905E-3"/>
    <n v="17417.03"/>
    <n v="1358.1678080000002"/>
    <n v="7.7979300029913268E-2"/>
  </r>
  <r>
    <x v="2"/>
    <m/>
    <s v=".003"/>
    <m/>
    <s v="22.05.003"/>
    <x v="71"/>
    <n v="2500"/>
    <n v="2500"/>
    <n v="80.95"/>
    <n v="3.2379999999999999E-2"/>
    <n v="1800"/>
    <n v="0.72"/>
    <n v="700"/>
    <n v="0.28000000000000003"/>
    <n v="2396.6"/>
    <n v="77.941599999999994"/>
    <n v="3.2521739130434782E-2"/>
  </r>
  <r>
    <x v="2"/>
    <m/>
    <s v=".004"/>
    <m/>
    <s v="22.05.004"/>
    <x v="72"/>
    <n v="16572"/>
    <n v="18000"/>
    <n v="1.49"/>
    <n v="8.2777777777777781E-5"/>
    <n v="9000"/>
    <n v="0.5"/>
    <n v="9000"/>
    <n v="0.5"/>
    <n v="19006.080000000002"/>
    <n v="791.16559199999995"/>
    <n v="4.1626973684210519E-2"/>
  </r>
  <r>
    <x v="2"/>
    <m/>
    <s v=".005"/>
    <m/>
    <s v="22.05.005"/>
    <x v="73"/>
    <n v="400"/>
    <n v="60116.716"/>
    <n v="27325.74"/>
    <n v="0.45454478917311453"/>
    <n v="60116.716"/>
    <n v="1"/>
    <n v="0"/>
    <n v="0"/>
    <n v="68772"/>
    <n v="11389.364264"/>
    <n v="0.16561048484848484"/>
  </r>
  <r>
    <x v="2"/>
    <m/>
    <s v=".006"/>
    <m/>
    <s v="22.05.006"/>
    <x v="74"/>
    <n v="1500"/>
    <n v="1500"/>
    <n v="0"/>
    <n v="0"/>
    <n v="0"/>
    <n v="0"/>
    <n v="1500"/>
    <n v="1"/>
    <n v="8857"/>
    <n v="0"/>
    <n v="0"/>
  </r>
  <r>
    <x v="2"/>
    <m/>
    <s v=".007"/>
    <m/>
    <s v="22.05.007"/>
    <x v="75"/>
    <n v="6773"/>
    <n v="6773"/>
    <n v="0"/>
    <n v="0"/>
    <n v="0"/>
    <n v="0"/>
    <n v="6773"/>
    <n v="1"/>
    <n v="6001.92"/>
    <n v="494.238314"/>
    <n v="8.2346701388888888E-2"/>
  </r>
  <r>
    <x v="2"/>
    <m/>
    <s v=".008"/>
    <m/>
    <s v="22.05.008"/>
    <x v="76"/>
    <n v="46193.417999999998"/>
    <n v="46193.417999999998"/>
    <n v="5126.75"/>
    <n v="0.11098442639598569"/>
    <n v="46193.417000000001"/>
    <n v="0.99999997835189425"/>
    <n v="9.9999999656574801E-4"/>
    <n v="2.1648105722892123E-8"/>
    <n v="40012.800000000003"/>
    <n v="3267.5098520000001"/>
    <n v="8.1661614583333333E-2"/>
  </r>
  <r>
    <x v="2"/>
    <s v=".06"/>
    <m/>
    <m/>
    <m/>
    <x v="77"/>
    <n v="37504.447"/>
    <n v="43432.057000000001"/>
    <n v="4896.0170000000007"/>
    <n v="0.11272818600325563"/>
    <n v="26474.828000000001"/>
    <n v="0.60956882608622476"/>
    <n v="16957.228999999996"/>
    <n v="0.39043117391377513"/>
    <n v="51820.810687999998"/>
    <n v="1318.2154439999999"/>
    <n v="2.5437954877561487E-2"/>
  </r>
  <r>
    <x v="2"/>
    <m/>
    <s v=".001"/>
    <m/>
    <s v="22.06.001"/>
    <x v="78"/>
    <n v="17290.246999999999"/>
    <n v="22394.794999999998"/>
    <n v="4503.5550000000003"/>
    <n v="0.20109829091983206"/>
    <n v="19533.273000000001"/>
    <n v="0.87222379128721661"/>
    <n v="2861.5219999999972"/>
    <n v="0.12777620871278336"/>
    <n v="15516.650197999999"/>
    <n v="64.80198"/>
    <n v="4.1762867096374048E-3"/>
  </r>
  <r>
    <x v="2"/>
    <m/>
    <s v=".002"/>
    <m/>
    <s v="22.06.002"/>
    <x v="79"/>
    <n v="14000"/>
    <n v="14459.993"/>
    <n v="172.55"/>
    <n v="1.1932924172231619E-2"/>
    <n v="2842.7809999999999"/>
    <n v="0.19659629157496825"/>
    <n v="11617.212"/>
    <n v="0.80340370842503173"/>
    <n v="21444.255800000003"/>
    <n v="1253.413464"/>
    <n v="5.8449846695076253E-2"/>
  </r>
  <r>
    <x v="2"/>
    <m/>
    <s v=".004"/>
    <m/>
    <s v="22.06.004"/>
    <x v="80"/>
    <n v="214.2"/>
    <n v="577.26900000000001"/>
    <n v="219.91200000000001"/>
    <n v="0.38095238095238099"/>
    <n v="0"/>
    <n v="0"/>
    <n v="0"/>
    <n v="0"/>
    <n v="0"/>
    <n v="0"/>
    <s v="0.00%"/>
  </r>
  <r>
    <x v="2"/>
    <m/>
    <s v=".003"/>
    <m/>
    <s v="22.06.003"/>
    <x v="81"/>
    <n v="0"/>
    <n v="0"/>
    <n v="0"/>
    <s v="0.00%"/>
    <n v="577.26900000000001"/>
    <n v="0"/>
    <n v="0"/>
    <n v="0"/>
    <n v="3126"/>
    <n v="0"/>
    <n v="0"/>
  </r>
  <r>
    <x v="2"/>
    <m/>
    <s v=".006"/>
    <m/>
    <s v="22.06.006"/>
    <x v="82"/>
    <n v="0"/>
    <n v="0"/>
    <n v="0"/>
    <s v="0.00%"/>
    <n v="0"/>
    <n v="0"/>
    <n v="0"/>
    <n v="0"/>
    <n v="0"/>
    <n v="0"/>
    <s v="0.00%"/>
  </r>
  <r>
    <x v="2"/>
    <m/>
    <s v=".007"/>
    <m/>
    <s v="22.06.007"/>
    <x v="83"/>
    <n v="6000"/>
    <n v="6000"/>
    <n v="0"/>
    <n v="0"/>
    <n v="3521.5050000000001"/>
    <n v="0.58691749999999998"/>
    <n v="2478.4949999999999"/>
    <n v="0.41308249999999996"/>
    <n v="11733.904689999999"/>
    <n v="0"/>
    <n v="0"/>
  </r>
  <r>
    <x v="2"/>
    <m/>
    <s v=".999"/>
    <m/>
    <s v="22.06.999"/>
    <x v="84"/>
    <n v="0"/>
    <n v="0"/>
    <n v="0"/>
    <s v="0.00%"/>
    <n v="0"/>
    <n v="0"/>
    <n v="0"/>
    <n v="0"/>
    <n v="0"/>
    <n v="0"/>
    <s v="0.00%"/>
  </r>
  <r>
    <x v="2"/>
    <s v=".07"/>
    <m/>
    <m/>
    <m/>
    <x v="85"/>
    <n v="16010"/>
    <n v="16069.5"/>
    <n v="3475.203"/>
    <n v="0.21626080462988892"/>
    <n v="4837.4840000000004"/>
    <n v="0.30103512865988363"/>
    <n v="11232.016"/>
    <n v="0.69896487134011631"/>
    <n v="10667.376010000002"/>
    <n v="1243.9291800000001"/>
    <n v="0.11661060591038451"/>
  </r>
  <r>
    <x v="2"/>
    <m/>
    <s v=".001"/>
    <m/>
    <s v="22.07.001"/>
    <x v="86"/>
    <n v="9000"/>
    <n v="9000"/>
    <n v="3405.703"/>
    <n v="0.37841144444444447"/>
    <n v="4767.9840000000004"/>
    <n v="0.52977600000000002"/>
    <n v="4232.0159999999996"/>
    <n v="0.47022399999999998"/>
    <n v="10109.607998000001"/>
    <n v="996.55317000000002"/>
    <n v="9.8574857719226069E-2"/>
  </r>
  <r>
    <x v="2"/>
    <m/>
    <s v=".002"/>
    <m/>
    <s v="22.07.002"/>
    <x v="87"/>
    <n v="7010"/>
    <n v="7069.5"/>
    <n v="69.5"/>
    <n v="9.830964000282905E-3"/>
    <n v="69.5"/>
    <n v="9.830964000282905E-3"/>
    <n v="7000"/>
    <n v="0.99016903599971706"/>
    <n v="557.768012"/>
    <n v="247.37601000000001"/>
    <n v="0.44351057191856319"/>
  </r>
  <r>
    <x v="2"/>
    <s v=".08"/>
    <m/>
    <m/>
    <m/>
    <x v="88"/>
    <n v="433516.47200000001"/>
    <n v="443413.62800000003"/>
    <n v="40845.82"/>
    <n v="9.2116744774474985E-2"/>
    <n v="245279.508"/>
    <n v="0.55316186177299898"/>
    <n v="198134.12"/>
    <n v="0.44683813822700097"/>
    <n v="425597.44136400003"/>
    <n v="60762.678462000011"/>
    <n v="0.14277030958471298"/>
  </r>
  <r>
    <x v="2"/>
    <m/>
    <s v=".001"/>
    <m/>
    <s v="22.08.001"/>
    <x v="89"/>
    <n v="118014.527"/>
    <n v="120568.531"/>
    <n v="12309.130999999999"/>
    <n v="0.10209240253578274"/>
    <n v="87634.98"/>
    <n v="0.72684787044473487"/>
    <n v="32933.551000000007"/>
    <n v="0.27315212955526519"/>
    <n v="110497.43953599999"/>
    <n v="12085.000338000002"/>
    <n v="0.10936905315405718"/>
  </r>
  <r>
    <x v="2"/>
    <m/>
    <s v=".002"/>
    <m/>
    <s v="22.08.002"/>
    <x v="90"/>
    <n v="500"/>
    <n v="12775.58"/>
    <n v="972.05499999999995"/>
    <n v="7.6086956521739121E-2"/>
    <n v="12775.58"/>
    <n v="1"/>
    <n v="0"/>
    <n v="0"/>
    <n v="33228.329663999997"/>
    <n v="12075.969324"/>
    <n v="0.3634239050265371"/>
  </r>
  <r>
    <x v="2"/>
    <m/>
    <s v=".003"/>
    <m/>
    <s v="22.08.003"/>
    <x v="91"/>
    <n v="0"/>
    <n v="0"/>
    <n v="0"/>
    <s v="0.00%"/>
    <n v="0"/>
    <n v="0"/>
    <n v="0"/>
    <n v="0"/>
    <n v="0"/>
    <n v="0"/>
    <s v="0.00%"/>
  </r>
  <r>
    <x v="2"/>
    <m/>
    <s v=".007"/>
    <m/>
    <s v="22.08.007"/>
    <x v="92"/>
    <n v="195703.899"/>
    <n v="122880.44100000001"/>
    <n v="16254.615999999998"/>
    <n v="0.13227992891073687"/>
    <n v="53319.235999999997"/>
    <n v="0.43391149613468588"/>
    <n v="69561.205000000016"/>
    <n v="0.56608850386531417"/>
    <n v="162192.054646"/>
    <n v="15258.281088"/>
    <n v="9.4075391802037944E-2"/>
  </r>
  <r>
    <x v="2"/>
    <m/>
    <s v=".008"/>
    <m/>
    <s v="22.08.008"/>
    <x v="93"/>
    <n v="41983.249000000003"/>
    <n v="40374.358999999997"/>
    <n v="4512.18"/>
    <n v="0.11175855448256158"/>
    <n v="33537.459000000003"/>
    <n v="0.8306623270477187"/>
    <n v="6836.8999999999942"/>
    <n v="0.1693376729522813"/>
    <n v="80244.421042000002"/>
    <n v="4889.85592"/>
    <n v="6.0937020374795217E-2"/>
  </r>
  <r>
    <x v="2"/>
    <m/>
    <s v=".010"/>
    <m/>
    <s v="22.08.010"/>
    <x v="94"/>
    <n v="3000"/>
    <n v="3000"/>
    <n v="411.88099999999997"/>
    <n v="0.13729366666666665"/>
    <n v="1374.2619999999999"/>
    <n v="0.45808733333333329"/>
    <n v="1625.7380000000001"/>
    <n v="0.54191266666666671"/>
    <n v="3126"/>
    <n v="1565.0579499999999"/>
    <n v="0.50065833333333332"/>
  </r>
  <r>
    <x v="2"/>
    <m/>
    <s v=".999"/>
    <m/>
    <s v="22.08.999"/>
    <x v="67"/>
    <n v="74314.797000000006"/>
    <n v="143814.717"/>
    <n v="6385.9570000000003"/>
    <n v="4.4404057757176547E-2"/>
    <n v="56637.991000000002"/>
    <n v="0.39382611308131976"/>
    <n v="87176.725999999995"/>
    <n v="0.60617388691868024"/>
    <n v="36309.196476000005"/>
    <n v="14888.513842"/>
    <n v="0.41004801226711668"/>
  </r>
  <r>
    <x v="2"/>
    <s v=".09"/>
    <m/>
    <m/>
    <m/>
    <x v="95"/>
    <n v="1017845.671"/>
    <n v="1043333.13"/>
    <n v="61908.061000000002"/>
    <n v="5.9336811244554269E-2"/>
    <n v="979461.51799999992"/>
    <n v="0.93878119062508825"/>
    <n v="63871.612000000037"/>
    <n v="6.1218809374911767E-2"/>
    <n v="1059984.9200000002"/>
    <n v="68357.945670000001"/>
    <n v="6.4489545445608781E-2"/>
  </r>
  <r>
    <x v="2"/>
    <m/>
    <s v=".002"/>
    <m/>
    <s v="22.09.002"/>
    <x v="96"/>
    <n v="874508.88199999998"/>
    <n v="874508.88199999998"/>
    <n v="47176.546999999999"/>
    <n v="5.3946332588535102E-2"/>
    <n v="810795.22199999995"/>
    <n v="0.92714349583930233"/>
    <n v="63713.660000000033"/>
    <n v="7.2856504160697624E-2"/>
    <n v="918887.70000000007"/>
    <n v="59034.830935999998"/>
    <n v="6.4245969269150077E-2"/>
  </r>
  <r>
    <x v="2"/>
    <m/>
    <s v=".005"/>
    <m/>
    <s v="22.09.005"/>
    <x v="97"/>
    <n v="28000"/>
    <n v="28000"/>
    <n v="1862.6880000000001"/>
    <n v="6.6524571428571433E-2"/>
    <n v="28000"/>
    <n v="1"/>
    <n v="0"/>
    <n v="0"/>
    <n v="28134"/>
    <n v="1710.1918780000001"/>
    <n v="6.0787370370370374E-2"/>
  </r>
  <r>
    <x v="2"/>
    <m/>
    <s v=".006"/>
    <m/>
    <s v="22.09.006"/>
    <x v="98"/>
    <n v="112000"/>
    <n v="112000"/>
    <n v="10479.968000000001"/>
    <n v="9.3571142857142867E-2"/>
    <n v="112000"/>
    <n v="1"/>
    <n v="0"/>
    <n v="0"/>
    <n v="83086.995999999999"/>
    <n v="7612.9228560000001"/>
    <n v="9.1625924904060796E-2"/>
  </r>
  <r>
    <x v="2"/>
    <m/>
    <s v=".999"/>
    <m/>
    <s v="22.09.999"/>
    <x v="67"/>
    <n v="3336.7890000000002"/>
    <n v="28824.248"/>
    <n v="2388.8580000000002"/>
    <n v="8.2876680772383041E-2"/>
    <n v="28666.295999999998"/>
    <n v="0.99452016926859632"/>
    <n v="157.95200000000114"/>
    <n v="5.479830731403683E-3"/>
    <n v="29876.224000000002"/>
    <n v="0"/>
    <n v="0"/>
  </r>
  <r>
    <x v="2"/>
    <s v=".10"/>
    <m/>
    <m/>
    <m/>
    <x v="99"/>
    <n v="5000"/>
    <n v="5000"/>
    <n v="0"/>
    <n v="0"/>
    <n v="4366.098"/>
    <n v="0.87321959999999998"/>
    <n v="633.90200000000004"/>
    <n v="0.12678040000000002"/>
    <n v="19807.965688"/>
    <n v="9.9656880000000001"/>
    <n v="5.0311516876452292E-4"/>
  </r>
  <r>
    <x v="2"/>
    <m/>
    <s v=".002"/>
    <m/>
    <s v="22.10.002"/>
    <x v="100"/>
    <n v="5000"/>
    <n v="5000"/>
    <n v="0"/>
    <n v="0"/>
    <n v="4366.098"/>
    <n v="0.87321959999999998"/>
    <n v="633.90200000000004"/>
    <n v="0.12678040000000002"/>
    <n v="19798"/>
    <n v="0"/>
    <n v="0"/>
  </r>
  <r>
    <x v="2"/>
    <m/>
    <s v=".004"/>
    <m/>
    <s v="22.10.004"/>
    <x v="101"/>
    <n v="0"/>
    <n v="0"/>
    <n v="0"/>
    <s v="0.00%"/>
    <n v="0"/>
    <n v="0"/>
    <n v="0"/>
    <n v="0"/>
    <n v="9.9656880000000001"/>
    <n v="9.9656880000000001"/>
    <n v="1"/>
  </r>
  <r>
    <x v="2"/>
    <s v=".11"/>
    <m/>
    <m/>
    <m/>
    <x v="102"/>
    <n v="1263759.7879999999"/>
    <n v="1017333.562"/>
    <n v="1866.674"/>
    <n v="1.834869181284319E-3"/>
    <n v="875155.49300000002"/>
    <n v="0.86024439347062454"/>
    <n v="142178.06900000008"/>
    <n v="0.13975560652937555"/>
    <n v="773980.98531000013"/>
    <n v="27494.826779999999"/>
    <n v="3.5523904723560595E-2"/>
  </r>
  <r>
    <x v="2"/>
    <m/>
    <s v=".001"/>
    <m/>
    <s v="22.11.001"/>
    <x v="103"/>
    <n v="311405.04100000003"/>
    <n v="288105.04200000002"/>
    <n v="0"/>
    <n v="0"/>
    <n v="237405.04300000001"/>
    <n v="0.82402252092485073"/>
    <n v="50699.999000000011"/>
    <n v="0.1759774790751493"/>
    <n v="170532.14137"/>
    <n v="0"/>
    <n v="0"/>
  </r>
  <r>
    <x v="2"/>
    <m/>
    <s v=".002"/>
    <m/>
    <s v="22.11.002"/>
    <x v="104"/>
    <n v="48560"/>
    <n v="48560"/>
    <n v="0"/>
    <n v="0"/>
    <n v="0"/>
    <n v="0"/>
    <n v="48560"/>
    <n v="1"/>
    <n v="51116.351999999999"/>
    <n v="0"/>
    <n v="0"/>
  </r>
  <r>
    <x v="2"/>
    <m/>
    <s v=".003"/>
    <m/>
    <s v="22.11.003"/>
    <x v="105"/>
    <n v="898671.52599999995"/>
    <n v="678144.43200000003"/>
    <n v="1866.674"/>
    <n v="2.7526201085139928E-3"/>
    <n v="637750.44999999995"/>
    <n v="0.94043454448063646"/>
    <n v="40393.982000000076"/>
    <n v="5.9565455519363569E-2"/>
    <n v="451858.68394000002"/>
    <n v="2621.3385600000001"/>
    <n v="5.8012353268130932E-3"/>
  </r>
  <r>
    <x v="2"/>
    <m/>
    <s v=".999"/>
    <m/>
    <s v="22.11.999"/>
    <x v="67"/>
    <n v="5123.2209999999995"/>
    <n v="2524.0880000000002"/>
    <n v="0"/>
    <n v="0"/>
    <n v="0"/>
    <n v="0"/>
    <n v="2524.0880000000002"/>
    <n v="1"/>
    <n v="100473.808"/>
    <n v="24873.488219999999"/>
    <n v="0.24756191404629552"/>
  </r>
  <r>
    <x v="2"/>
    <s v=".12"/>
    <m/>
    <m/>
    <m/>
    <x v="106"/>
    <n v="1700"/>
    <n v="3586.768"/>
    <n v="2244.6080000000002"/>
    <n v="0.62580239368701851"/>
    <n v="2394.768"/>
    <n v="0.66766738188809538"/>
    <n v="1191.9999999999998"/>
    <n v="0.33233261811190457"/>
    <n v="8521.5468560000008"/>
    <n v="491.97509000000002"/>
    <n v="5.7733073386036893E-2"/>
  </r>
  <r>
    <x v="2"/>
    <m/>
    <s v=".002"/>
    <m/>
    <s v="22.12.002"/>
    <x v="107"/>
    <n v="1700"/>
    <n v="2186.7689999999998"/>
    <n v="844.60900000000004"/>
    <n v="0.38623604047798377"/>
    <n v="994.76900000000001"/>
    <n v="0.45490355862919224"/>
    <n v="1191.9999999999998"/>
    <n v="0.5450964413708077"/>
    <n v="8433.5103600000002"/>
    <n v="491.97509000000002"/>
    <n v="5.8335742650347563E-2"/>
  </r>
  <r>
    <x v="2"/>
    <m/>
    <s v=".003"/>
    <m/>
    <s v="22.12.003"/>
    <x v="108"/>
    <n v="0"/>
    <n v="0"/>
    <n v="0"/>
    <s v="0.00%"/>
    <n v="0"/>
    <n v="0"/>
    <n v="0"/>
    <n v="0"/>
    <n v="0"/>
    <n v="0"/>
    <s v="0.00%"/>
  </r>
  <r>
    <x v="2"/>
    <m/>
    <s v=".999"/>
    <m/>
    <s v="22.12.999"/>
    <x v="84"/>
    <n v="0"/>
    <n v="1399.999"/>
    <n v="1399.999"/>
    <n v="1"/>
    <n v="1399.999"/>
    <n v="1"/>
    <n v="0"/>
    <n v="0"/>
    <n v="88.036496"/>
    <n v="0"/>
    <n v="0"/>
  </r>
  <r>
    <x v="4"/>
    <m/>
    <m/>
    <m/>
    <m/>
    <x v="109"/>
    <n v="10"/>
    <n v="10"/>
    <n v="0"/>
    <n v="0"/>
    <n v="0"/>
    <n v="0"/>
    <n v="10"/>
    <n v="1"/>
    <n v="10.42"/>
    <n v="0"/>
    <n v="0"/>
  </r>
  <r>
    <x v="2"/>
    <s v="03."/>
    <m/>
    <m/>
    <s v="23.03"/>
    <x v="110"/>
    <n v="10"/>
    <n v="10"/>
    <n v="0"/>
    <n v="0"/>
    <n v="0"/>
    <n v="0"/>
    <n v="10"/>
    <n v="1"/>
    <n v="10.42"/>
    <n v="0"/>
    <n v="0"/>
  </r>
  <r>
    <x v="2"/>
    <m/>
    <s v=".001"/>
    <m/>
    <s v="23.03.001"/>
    <x v="111"/>
    <n v="1"/>
    <n v="1"/>
    <n v="0"/>
    <n v="0"/>
    <n v="0"/>
    <n v="0"/>
    <n v="1"/>
    <n v="1"/>
    <n v="0"/>
    <n v="0"/>
    <n v="0"/>
  </r>
  <r>
    <x v="2"/>
    <m/>
    <s v=".003"/>
    <m/>
    <s v="23.03.003"/>
    <x v="112"/>
    <n v="8"/>
    <n v="8"/>
    <n v="0"/>
    <n v="0"/>
    <n v="0"/>
    <n v="0"/>
    <n v="8"/>
    <n v="1"/>
    <n v="10.42"/>
    <n v="0"/>
    <n v="0"/>
  </r>
  <r>
    <x v="2"/>
    <m/>
    <s v=".004"/>
    <m/>
    <s v="23.03.004"/>
    <x v="113"/>
    <n v="0"/>
    <n v="0"/>
    <n v="0"/>
    <s v="0.00%"/>
    <n v="0"/>
    <n v="0"/>
    <n v="0"/>
    <n v="0"/>
    <n v="0"/>
    <n v="0"/>
    <s v="0.00%"/>
  </r>
  <r>
    <x v="5"/>
    <s v="  "/>
    <m/>
    <m/>
    <m/>
    <x v="114"/>
    <n v="86148546"/>
    <n v="86148546"/>
    <n v="251962.87299999999"/>
    <n v="2.9247489911205233E-3"/>
    <n v="1174510.8559999999"/>
    <n v="1.3633554024231586E-2"/>
    <n v="84974035.144000009"/>
    <n v="0.9863664459757685"/>
    <n v="89516659.084000006"/>
    <n v="9924026.1537239999"/>
    <n v="0.1108623384214056"/>
  </r>
  <r>
    <x v="6"/>
    <s v=".01"/>
    <m/>
    <m/>
    <m/>
    <x v="115"/>
    <n v="2681203"/>
    <n v="2681203"/>
    <n v="15778.943000000001"/>
    <n v="5.8850236255889622E-3"/>
    <n v="478117.20999999996"/>
    <n v="0.17832189878946128"/>
    <n v="2203085.79"/>
    <n v="0.82167810121053875"/>
    <n v="0"/>
    <n v="0"/>
    <s v="0.00%"/>
  </r>
  <r>
    <x v="2"/>
    <m/>
    <m/>
    <m/>
    <s v="24.01.010"/>
    <x v="116"/>
    <n v="0"/>
    <n v="0"/>
    <n v="0"/>
    <s v="0.00%"/>
    <n v="0"/>
    <n v="0"/>
    <n v="0"/>
    <n v="0"/>
    <n v="0"/>
    <n v="0"/>
    <s v="0.00%"/>
  </r>
  <r>
    <x v="2"/>
    <m/>
    <m/>
    <m/>
    <s v="24.01.030"/>
    <x v="117"/>
    <n v="2681203"/>
    <n v="2681203"/>
    <n v="15778.943000000001"/>
    <n v="5.8850236255889622E-3"/>
    <n v="478117.20999999996"/>
    <n v="0.17832189878946128"/>
    <n v="2203085.79"/>
    <n v="0.82167810121053875"/>
    <n v="0"/>
    <n v="0"/>
    <m/>
  </r>
  <r>
    <x v="2"/>
    <m/>
    <m/>
    <m/>
    <s v="24.01.100"/>
    <x v="118"/>
    <n v="0"/>
    <n v="0"/>
    <n v="0"/>
    <s v="0.00%"/>
    <n v="0"/>
    <n v="0"/>
    <n v="0"/>
    <n v="0"/>
    <n v="0"/>
    <n v="0"/>
    <s v="0.00%"/>
  </r>
  <r>
    <x v="2"/>
    <m/>
    <m/>
    <m/>
    <s v="24.01.101"/>
    <x v="119"/>
    <n v="0"/>
    <n v="0"/>
    <n v="0"/>
    <s v="0.00%"/>
    <n v="0"/>
    <n v="0"/>
    <n v="0"/>
    <n v="0"/>
    <n v="0"/>
    <n v="0"/>
    <s v="0.00%"/>
  </r>
  <r>
    <x v="2"/>
    <m/>
    <m/>
    <m/>
    <s v="24.01.102"/>
    <x v="120"/>
    <n v="0"/>
    <n v="0"/>
    <n v="0"/>
    <s v="0.00%"/>
    <n v="0"/>
    <n v="0"/>
    <n v="0"/>
    <n v="0"/>
    <n v="0"/>
    <n v="0"/>
    <s v="0.00%"/>
  </r>
  <r>
    <x v="2"/>
    <m/>
    <m/>
    <m/>
    <s v="24.01.103"/>
    <x v="121"/>
    <n v="0"/>
    <n v="0"/>
    <n v="0"/>
    <s v="0.00%"/>
    <n v="0"/>
    <n v="0"/>
    <n v="0"/>
    <n v="0"/>
    <n v="0"/>
    <n v="0"/>
    <s v="0.00%"/>
  </r>
  <r>
    <x v="2"/>
    <m/>
    <m/>
    <m/>
    <s v="24.01.104"/>
    <x v="122"/>
    <n v="0"/>
    <n v="0"/>
    <n v="0"/>
    <s v="0.00%"/>
    <n v="0"/>
    <n v="0"/>
    <n v="0"/>
    <n v="0"/>
    <n v="0"/>
    <n v="0"/>
    <s v="0.00%"/>
  </r>
  <r>
    <x v="2"/>
    <m/>
    <m/>
    <m/>
    <s v="24.01.105"/>
    <x v="123"/>
    <n v="0"/>
    <n v="0"/>
    <n v="0"/>
    <s v="0.00%"/>
    <n v="0"/>
    <n v="0"/>
    <n v="0"/>
    <n v="0"/>
    <n v="0"/>
    <n v="0"/>
    <s v="0.00%"/>
  </r>
  <r>
    <x v="6"/>
    <s v=".02"/>
    <m/>
    <m/>
    <m/>
    <x v="124"/>
    <n v="0"/>
    <n v="0"/>
    <n v="0"/>
    <s v="0.00%"/>
    <n v="0"/>
    <n v="0"/>
    <n v="0"/>
    <n v="0"/>
    <n v="0"/>
    <n v="0"/>
    <s v="0.00%"/>
  </r>
  <r>
    <x v="2"/>
    <m/>
    <m/>
    <m/>
    <s v="24.02.004"/>
    <x v="125"/>
    <n v="0"/>
    <n v="0"/>
    <n v="0"/>
    <s v="0.00%"/>
    <n v="0"/>
    <n v="0"/>
    <n v="0"/>
    <n v="0"/>
    <n v="0"/>
    <n v="0"/>
    <s v="0.00%"/>
  </r>
  <r>
    <x v="2"/>
    <m/>
    <m/>
    <m/>
    <s v="24.02.006"/>
    <x v="126"/>
    <n v="0"/>
    <n v="0"/>
    <n v="0"/>
    <s v="0.00%"/>
    <n v="0"/>
    <n v="0"/>
    <n v="0"/>
    <n v="0"/>
    <n v="0"/>
    <n v="0"/>
    <s v="0.00%"/>
  </r>
  <r>
    <x v="2"/>
    <m/>
    <m/>
    <m/>
    <s v="24.02.007"/>
    <x v="127"/>
    <n v="0"/>
    <n v="0"/>
    <n v="0"/>
    <s v="0.00%"/>
    <n v="0"/>
    <n v="0"/>
    <n v="0"/>
    <n v="0"/>
    <n v="0"/>
    <n v="0"/>
    <s v="0.00%"/>
  </r>
  <r>
    <x v="2"/>
    <m/>
    <m/>
    <m/>
    <s v="24.02.101"/>
    <x v="128"/>
    <n v="0"/>
    <n v="0"/>
    <n v="0"/>
    <s v="0.00%"/>
    <n v="0"/>
    <n v="0"/>
    <n v="0"/>
    <n v="0"/>
    <n v="0"/>
    <n v="0"/>
    <s v="0.00%"/>
  </r>
  <r>
    <x v="2"/>
    <m/>
    <m/>
    <m/>
    <s v="24.02.102"/>
    <x v="129"/>
    <n v="0"/>
    <n v="0"/>
    <n v="0"/>
    <s v="0.00%"/>
    <n v="0"/>
    <n v="0"/>
    <n v="0"/>
    <n v="0"/>
    <n v="0"/>
    <n v="0"/>
    <s v="0.00%"/>
  </r>
  <r>
    <x v="2"/>
    <m/>
    <m/>
    <m/>
    <s v="24.02.103"/>
    <x v="130"/>
    <n v="0"/>
    <n v="0"/>
    <n v="0"/>
    <s v="0.00%"/>
    <n v="0"/>
    <n v="0"/>
    <n v="0"/>
    <n v="0"/>
    <n v="0"/>
    <n v="0"/>
    <s v="0.00%"/>
  </r>
  <r>
    <x v="2"/>
    <m/>
    <m/>
    <m/>
    <s v="24.02.104"/>
    <x v="131"/>
    <n v="0"/>
    <n v="0"/>
    <n v="0"/>
    <s v="0.00%"/>
    <n v="0"/>
    <n v="0"/>
    <n v="0"/>
    <n v="0"/>
    <n v="0"/>
    <n v="0"/>
    <s v="0.00%"/>
  </r>
  <r>
    <x v="2"/>
    <m/>
    <m/>
    <m/>
    <s v="24.02.105"/>
    <x v="132"/>
    <n v="0"/>
    <n v="0"/>
    <n v="0"/>
    <s v="0.00%"/>
    <n v="0"/>
    <n v="0"/>
    <n v="0"/>
    <n v="0"/>
    <n v="0"/>
    <n v="0"/>
    <s v="0.00%"/>
  </r>
  <r>
    <x v="2"/>
    <m/>
    <m/>
    <m/>
    <s v="24.02.106"/>
    <x v="133"/>
    <n v="0"/>
    <n v="0"/>
    <n v="0"/>
    <s v="0.00%"/>
    <n v="0"/>
    <n v="0"/>
    <n v="0"/>
    <n v="0"/>
    <n v="0"/>
    <n v="0"/>
    <s v="0.00%"/>
  </r>
  <r>
    <x v="2"/>
    <m/>
    <m/>
    <m/>
    <s v="24.02.107"/>
    <x v="134"/>
    <n v="0"/>
    <n v="0"/>
    <n v="0"/>
    <s v="0.00%"/>
    <n v="0"/>
    <n v="0"/>
    <n v="0"/>
    <n v="0"/>
    <n v="0"/>
    <n v="0"/>
    <s v="0.00%"/>
  </r>
  <r>
    <x v="2"/>
    <m/>
    <m/>
    <m/>
    <s v="24.02.108"/>
    <x v="135"/>
    <n v="0"/>
    <n v="0"/>
    <n v="0"/>
    <s v="0.00%"/>
    <n v="0"/>
    <n v="0"/>
    <n v="0"/>
    <n v="0"/>
    <n v="0"/>
    <n v="0"/>
    <s v="0.00%"/>
  </r>
  <r>
    <x v="2"/>
    <m/>
    <m/>
    <m/>
    <s v="24.02.109"/>
    <x v="136"/>
    <n v="0"/>
    <n v="0"/>
    <n v="0"/>
    <s v="0.00%"/>
    <n v="0"/>
    <n v="0"/>
    <n v="0"/>
    <n v="0"/>
    <n v="0"/>
    <n v="0"/>
    <s v="0.00%"/>
  </r>
  <r>
    <x v="2"/>
    <m/>
    <m/>
    <m/>
    <s v="24.02.110"/>
    <x v="137"/>
    <n v="0"/>
    <n v="0"/>
    <n v="0"/>
    <s v="0.00%"/>
    <n v="0"/>
    <n v="0"/>
    <n v="0"/>
    <n v="0"/>
    <n v="0"/>
    <n v="0"/>
    <s v="0.00%"/>
  </r>
  <r>
    <x v="2"/>
    <m/>
    <m/>
    <m/>
    <s v="24.02.111"/>
    <x v="138"/>
    <n v="0"/>
    <n v="0"/>
    <n v="0"/>
    <s v="0.00%"/>
    <n v="0"/>
    <n v="0"/>
    <n v="0"/>
    <n v="0"/>
    <n v="0"/>
    <n v="0"/>
    <s v="0.00%"/>
  </r>
  <r>
    <x v="2"/>
    <m/>
    <m/>
    <m/>
    <s v="24.02.112"/>
    <x v="139"/>
    <n v="0"/>
    <n v="0"/>
    <n v="0"/>
    <s v="0.00%"/>
    <n v="0"/>
    <n v="0"/>
    <n v="0"/>
    <n v="0"/>
    <n v="0"/>
    <n v="0"/>
    <s v="0.00%"/>
  </r>
  <r>
    <x v="2"/>
    <m/>
    <m/>
    <m/>
    <s v="24.02.113"/>
    <x v="140"/>
    <n v="0"/>
    <n v="0"/>
    <n v="0"/>
    <s v="0.00%"/>
    <n v="0"/>
    <n v="0"/>
    <n v="0"/>
    <n v="0"/>
    <n v="0"/>
    <n v="0"/>
    <s v="0.00%"/>
  </r>
  <r>
    <x v="2"/>
    <m/>
    <m/>
    <m/>
    <s v="24.02.114"/>
    <x v="141"/>
    <n v="0"/>
    <n v="0"/>
    <n v="0"/>
    <s v="0.00%"/>
    <n v="0"/>
    <n v="0"/>
    <n v="0"/>
    <n v="0"/>
    <n v="0"/>
    <n v="0"/>
    <s v="0.00%"/>
  </r>
  <r>
    <x v="2"/>
    <m/>
    <m/>
    <m/>
    <s v="24.02.115"/>
    <x v="142"/>
    <n v="0"/>
    <n v="0"/>
    <n v="0"/>
    <s v="0.00%"/>
    <n v="0"/>
    <n v="0"/>
    <n v="0"/>
    <n v="0"/>
    <n v="0"/>
    <n v="0"/>
    <s v="0.00%"/>
  </r>
  <r>
    <x v="2"/>
    <m/>
    <m/>
    <m/>
    <s v="24.02.116"/>
    <x v="143"/>
    <n v="0"/>
    <n v="0"/>
    <n v="0"/>
    <s v="0.00%"/>
    <n v="0"/>
    <n v="0"/>
    <n v="0"/>
    <n v="0"/>
    <n v="0"/>
    <n v="0"/>
    <s v="0.00%"/>
  </r>
  <r>
    <x v="2"/>
    <m/>
    <m/>
    <m/>
    <s v="24.02.500"/>
    <x v="144"/>
    <n v="0"/>
    <n v="0"/>
    <n v="0"/>
    <s v="0.00%"/>
    <n v="0"/>
    <n v="0"/>
    <n v="0"/>
    <n v="0"/>
    <n v="0"/>
    <n v="0"/>
    <s v="0.00%"/>
  </r>
  <r>
    <x v="2"/>
    <m/>
    <m/>
    <m/>
    <s v="24.02.914"/>
    <x v="145"/>
    <n v="0"/>
    <n v="0"/>
    <n v="0"/>
    <s v="0.00%"/>
    <n v="0"/>
    <n v="0"/>
    <n v="0"/>
    <n v="0"/>
    <n v="0"/>
    <n v="0"/>
    <s v="0.00%"/>
  </r>
  <r>
    <x v="6"/>
    <s v=".03"/>
    <m/>
    <m/>
    <m/>
    <x v="146"/>
    <n v="82881718"/>
    <n v="82881718"/>
    <n v="147057.33799999999"/>
    <n v="1.7743036890234345E-3"/>
    <n v="354412.88699999999"/>
    <n v="4.2761286270634495E-3"/>
    <n v="82527305.113000005"/>
    <n v="0.99572387137293661"/>
    <n v="89516659.084000006"/>
    <n v="9924026.1537239999"/>
    <n v="0.1108623384214056"/>
  </r>
  <r>
    <x v="2"/>
    <m/>
    <s v=".024"/>
    <m/>
    <s v="24.03.024"/>
    <x v="147"/>
    <n v="10"/>
    <n v="10"/>
    <n v="0"/>
    <n v="0"/>
    <n v="0"/>
    <n v="0"/>
    <n v="10"/>
    <n v="1"/>
    <n v="10.42"/>
    <n v="0"/>
    <n v="0"/>
  </r>
  <r>
    <x v="2"/>
    <m/>
    <s v=".025"/>
    <m/>
    <s v="24.03.025"/>
    <x v="148"/>
    <n v="0"/>
    <n v="0"/>
    <n v="0"/>
    <s v="0.00%"/>
    <n v="0"/>
    <n v="0"/>
    <n v="0"/>
    <n v="0"/>
    <n v="0"/>
    <n v="0"/>
    <s v="0.00%"/>
  </r>
  <r>
    <x v="2"/>
    <m/>
    <s v=".026"/>
    <m/>
    <s v="24.03.026"/>
    <x v="149"/>
    <n v="1572691"/>
    <n v="1572691"/>
    <n v="18558.999"/>
    <n v="1.1800791763925653E-2"/>
    <n v="37459"/>
    <n v="2.3818410609585734E-2"/>
    <n v="1535232"/>
    <n v="0.97618158939041422"/>
    <n v="1613016"/>
    <n v="189900.32262200001"/>
    <n v="0.11772996834625324"/>
  </r>
  <r>
    <x v="2"/>
    <m/>
    <s v=".027"/>
    <m/>
    <s v="24.03.027"/>
    <x v="150"/>
    <n v="0"/>
    <n v="0"/>
    <n v="0"/>
    <s v="0.00%"/>
    <n v="0"/>
    <n v="0"/>
    <n v="0"/>
    <n v="0"/>
    <n v="0"/>
    <n v="0"/>
    <s v="0.00%"/>
  </r>
  <r>
    <x v="2"/>
    <m/>
    <s v=".030"/>
    <m/>
    <s v="24.03.030"/>
    <x v="151"/>
    <n v="0"/>
    <n v="0"/>
    <n v="0"/>
    <s v="0.00%"/>
    <n v="0"/>
    <n v="0"/>
    <n v="0"/>
    <n v="0"/>
    <n v="0"/>
    <n v="0"/>
    <s v="0.00%"/>
  </r>
  <r>
    <x v="2"/>
    <m/>
    <s v=".033"/>
    <m/>
    <s v="24.03.033"/>
    <x v="117"/>
    <n v="0"/>
    <n v="0"/>
    <n v="0"/>
    <s v="0.00%"/>
    <n v="0"/>
    <n v="0"/>
    <n v="0"/>
    <n v="0"/>
    <n v="2749951.5780000002"/>
    <n v="20350.635119999999"/>
    <n v="7.4003612582883077E-3"/>
  </r>
  <r>
    <x v="2"/>
    <m/>
    <s v=".034"/>
    <m/>
    <s v="24.03.034"/>
    <x v="152"/>
    <n v="0"/>
    <n v="0"/>
    <n v="0"/>
    <s v="0.00%"/>
    <n v="0"/>
    <n v="0"/>
    <n v="0"/>
    <n v="0"/>
    <n v="44217.270000000004"/>
    <n v="0"/>
    <n v="0"/>
  </r>
  <r>
    <x v="2"/>
    <m/>
    <s v=".043"/>
    <m/>
    <s v="24.03.043"/>
    <x v="153"/>
    <n v="0"/>
    <n v="0"/>
    <n v="0"/>
    <s v="0.00%"/>
    <n v="0"/>
    <n v="0"/>
    <n v="0"/>
    <n v="0"/>
    <m/>
    <m/>
    <s v="0.00%"/>
  </r>
  <r>
    <x v="2"/>
    <m/>
    <s v=".015"/>
    <m/>
    <s v="24.03.015"/>
    <x v="123"/>
    <n v="0"/>
    <n v="0"/>
    <n v="0"/>
    <s v="0.00%"/>
    <n v="0"/>
    <n v="0"/>
    <n v="0"/>
    <n v="0"/>
    <n v="0"/>
    <n v="0"/>
    <s v="0.00%"/>
  </r>
  <r>
    <x v="2"/>
    <m/>
    <s v=".403"/>
    <m/>
    <s v="24.03.403"/>
    <x v="154"/>
    <n v="76763405"/>
    <n v="76763405"/>
    <n v="0"/>
    <n v="0"/>
    <n v="0"/>
    <n v="0"/>
    <n v="76763405"/>
    <n v="1"/>
    <n v="78731697.541999996"/>
    <n v="9490298.1364079993"/>
    <n v="0.12053973726840236"/>
  </r>
  <r>
    <x v="6"/>
    <m/>
    <s v=".406"/>
    <m/>
    <s v="24.03.406"/>
    <x v="155"/>
    <n v="3804713"/>
    <n v="3804713"/>
    <n v="38679.495000000003"/>
    <n v="1.0166205703294835E-2"/>
    <n v="224795.04300000001"/>
    <n v="5.9083311408771176E-2"/>
    <n v="3579917.9569999999"/>
    <n v="0.94091668859122879"/>
    <n v="3953267.7659999998"/>
    <n v="145580.56567000001"/>
    <n v="3.6825374421146667E-2"/>
  </r>
  <r>
    <x v="2"/>
    <m/>
    <s v=".407"/>
    <m/>
    <s v="24.03.407"/>
    <x v="156"/>
    <n v="0"/>
    <n v="0"/>
    <n v="0"/>
    <s v="0.00%"/>
    <n v="0"/>
    <n v="0"/>
    <n v="0"/>
    <n v="0"/>
    <n v="483694.31599999999"/>
    <n v="0"/>
    <n v="0"/>
  </r>
  <r>
    <x v="6"/>
    <m/>
    <s v=".409"/>
    <m/>
    <s v="24.03.409"/>
    <x v="157"/>
    <n v="0"/>
    <n v="0"/>
    <n v="0"/>
    <s v="0.00%"/>
    <n v="0"/>
    <n v="0"/>
    <n v="0"/>
    <n v="0"/>
    <n v="117484.458"/>
    <n v="9353.7339040000006"/>
    <n v="7.9616777088932056E-2"/>
  </r>
  <r>
    <x v="2"/>
    <m/>
    <s v=".410"/>
    <m/>
    <s v="24.03.410"/>
    <x v="158"/>
    <n v="0"/>
    <n v="0"/>
    <n v="0"/>
    <s v="0.00%"/>
    <n v="0"/>
    <n v="0"/>
    <m/>
    <n v="0"/>
    <n v="0"/>
    <n v="0"/>
    <s v="0.00%"/>
  </r>
  <r>
    <x v="6"/>
    <m/>
    <s v=".415"/>
    <m/>
    <s v="24.03.415"/>
    <x v="159"/>
    <n v="0"/>
    <n v="0"/>
    <n v="0"/>
    <s v="0.00%"/>
    <n v="0"/>
    <n v="0"/>
    <n v="0"/>
    <n v="0"/>
    <n v="0"/>
    <n v="0"/>
    <s v="0.00%"/>
  </r>
  <r>
    <x v="6"/>
    <m/>
    <s v=".500"/>
    <m/>
    <s v="24.03.500"/>
    <x v="160"/>
    <n v="0"/>
    <n v="0"/>
    <n v="0"/>
    <s v="0.00%"/>
    <n v="0"/>
    <n v="0"/>
    <n v="0"/>
    <n v="0"/>
    <n v="0"/>
    <n v="0"/>
    <s v="0.00%"/>
  </r>
  <r>
    <x v="6"/>
    <m/>
    <s v=".602"/>
    <m/>
    <s v="24.03.602"/>
    <x v="161"/>
    <n v="740899"/>
    <n v="740899"/>
    <n v="89818.843999999997"/>
    <n v="0.12122953870905481"/>
    <n v="92158.843999999997"/>
    <n v="0.12438786393287074"/>
    <n v="648740.15599999996"/>
    <n v="0.87561213606712918"/>
    <n v="1823319.7340000002"/>
    <n v="68542.759999999995"/>
    <n v="3.759228769472639E-2"/>
  </r>
  <r>
    <x v="6"/>
    <s v=".07"/>
    <m/>
    <m/>
    <m/>
    <x v="162"/>
    <n v="0"/>
    <n v="0"/>
    <n v="0"/>
    <s v="0.00%"/>
    <n v="0"/>
    <n v="0"/>
    <n v="0"/>
    <n v="0"/>
    <n v="0"/>
    <n v="0"/>
    <s v="0.00%"/>
  </r>
  <r>
    <x v="2"/>
    <m/>
    <m/>
    <m/>
    <s v="24.07.002"/>
    <x v="163"/>
    <n v="0"/>
    <n v="0"/>
    <n v="0"/>
    <s v="0.00%"/>
    <n v="0"/>
    <n v="0"/>
    <n v="0"/>
    <n v="0"/>
    <n v="0"/>
    <n v="0"/>
    <s v="0.00%"/>
  </r>
  <r>
    <x v="2"/>
    <m/>
    <m/>
    <m/>
    <s v="24.07.003"/>
    <x v="164"/>
    <n v="0"/>
    <n v="0"/>
    <n v="0"/>
    <s v="0.00%"/>
    <n v="0"/>
    <n v="0"/>
    <n v="0"/>
    <n v="0"/>
    <n v="0"/>
    <n v="0"/>
    <s v="0.00%"/>
  </r>
  <r>
    <x v="2"/>
    <m/>
    <m/>
    <m/>
    <s v="24.07.006"/>
    <x v="165"/>
    <n v="0"/>
    <n v="0"/>
    <n v="0"/>
    <s v="0.00%"/>
    <n v="0"/>
    <n v="0"/>
    <n v="0"/>
    <n v="0"/>
    <n v="0"/>
    <n v="0"/>
    <s v="0.00%"/>
  </r>
  <r>
    <x v="2"/>
    <m/>
    <m/>
    <m/>
    <s v="24.07.007"/>
    <x v="166"/>
    <n v="0"/>
    <n v="0"/>
    <n v="0"/>
    <s v="0.00%"/>
    <n v="0"/>
    <n v="0"/>
    <n v="0"/>
    <n v="0"/>
    <n v="0"/>
    <n v="0"/>
    <s v="0.00%"/>
  </r>
  <r>
    <x v="2"/>
    <m/>
    <m/>
    <m/>
    <s v="24.07.008 "/>
    <x v="167"/>
    <n v="0"/>
    <n v="0"/>
    <n v="0"/>
    <s v="0.00%"/>
    <n v="0"/>
    <n v="0"/>
    <n v="0"/>
    <n v="0"/>
    <n v="0"/>
    <n v="0"/>
    <s v="0.00%"/>
  </r>
  <r>
    <x v="2"/>
    <m/>
    <m/>
    <m/>
    <s v="24.07.009"/>
    <x v="168"/>
    <n v="0"/>
    <n v="0"/>
    <n v="0"/>
    <s v="0.00%"/>
    <n v="0"/>
    <n v="0"/>
    <n v="0"/>
    <n v="0"/>
    <n v="0"/>
    <n v="0"/>
    <s v="0.00%"/>
  </r>
  <r>
    <x v="2"/>
    <m/>
    <m/>
    <m/>
    <s v="24.07.010"/>
    <x v="169"/>
    <n v="0"/>
    <n v="0"/>
    <n v="0"/>
    <s v="0.00%"/>
    <n v="0"/>
    <n v="0"/>
    <n v="0"/>
    <n v="0"/>
    <n v="0"/>
    <n v="0"/>
    <s v="0.00%"/>
  </r>
  <r>
    <x v="2"/>
    <s v=".09"/>
    <m/>
    <m/>
    <m/>
    <x v="170"/>
    <n v="585625"/>
    <n v="585625"/>
    <n v="89126.592000000004"/>
    <n v="0.15219055197438636"/>
    <n v="341980.75899999996"/>
    <n v="0.58395860661686227"/>
    <n v="243644.24100000001"/>
    <n v="1.6353297971315732E-2"/>
    <n v="0"/>
    <n v="0"/>
    <s v="0.00%"/>
  </r>
  <r>
    <x v="2"/>
    <m/>
    <n v="34"/>
    <m/>
    <s v="24.09.034"/>
    <x v="171"/>
    <n v="31260"/>
    <n v="31260"/>
    <n v="2700"/>
    <n v="8.6372360844529747E-2"/>
    <n v="22571.206999999999"/>
    <n v="0.72204756877799103"/>
    <n v="8688.7930000000015"/>
    <n v="0.27795243122200902"/>
    <n v="0"/>
    <n v="0"/>
    <s v="0.00%"/>
  </r>
  <r>
    <x v="2"/>
    <m/>
    <n v="409"/>
    <m/>
    <s v="24.09.409"/>
    <x v="172"/>
    <n v="82763"/>
    <n v="82763"/>
    <n v="14426.592000000001"/>
    <n v="0.17431209598492081"/>
    <n v="81409.551999999996"/>
    <n v="0.98364670202868432"/>
    <n v="1353.448000000004"/>
    <n v="1.6353297971315732E-2"/>
    <n v="0"/>
    <n v="0"/>
    <s v="0.00%"/>
  </r>
  <r>
    <x v="2"/>
    <m/>
    <n v="407"/>
    <m/>
    <s v="24.09.407"/>
    <x v="156"/>
    <n v="471602"/>
    <n v="471602"/>
    <n v="72000"/>
    <n v="0.15267110826502009"/>
    <n v="238000"/>
    <n v="0.50466283009826085"/>
    <n v="233602"/>
    <n v="0.4953371699017392"/>
    <n v="0"/>
    <n v="0"/>
    <n v="0"/>
  </r>
  <r>
    <x v="7"/>
    <m/>
    <m/>
    <m/>
    <m/>
    <x v="173"/>
    <n v="178407.99600000001"/>
    <n v="178407.99600000001"/>
    <n v="56827.652999999998"/>
    <n v="0.31852637927730543"/>
    <n v="56827.654000000002"/>
    <n v="0.3185263848824354"/>
    <n v="121580.34199999999"/>
    <n v="0.68147361511756444"/>
    <n v="178388.42020000002"/>
    <n v="601239.93419000006"/>
    <n v="1"/>
  </r>
  <r>
    <x v="2"/>
    <n v="99"/>
    <m/>
    <m/>
    <m/>
    <x v="174"/>
    <n v="178407.99600000001"/>
    <n v="178407.99600000001"/>
    <n v="56827.652999999998"/>
    <n v="0.31852637927730543"/>
    <n v="56827.654000000002"/>
    <n v="0.3185263848824354"/>
    <n v="121580.34199999999"/>
    <n v="0.68147361511756444"/>
    <n v="178388.52440000002"/>
    <n v="601239.93419000006"/>
    <n v="3.3703958043951396"/>
  </r>
  <r>
    <x v="2"/>
    <m/>
    <m/>
    <m/>
    <s v="25.99.001"/>
    <x v="175"/>
    <n v="178374"/>
    <n v="178374"/>
    <n v="56827.652999999998"/>
    <n v="0.31858708668303676"/>
    <n v="56827.654000000002"/>
    <n v="0.31858709228923499"/>
    <n v="121546.34599999999"/>
    <n v="0.68141290771076501"/>
    <n v="0"/>
    <n v="0"/>
    <s v="0.00%"/>
  </r>
  <r>
    <x v="2"/>
    <m/>
    <m/>
    <m/>
    <s v="25.99.002"/>
    <x v="176"/>
    <n v="1"/>
    <n v="1"/>
    <n v="0"/>
    <n v="0"/>
    <n v="0"/>
    <n v="0"/>
    <n v="1"/>
    <n v="1"/>
    <n v="0"/>
    <n v="0"/>
    <s v="0.00%"/>
  </r>
  <r>
    <x v="2"/>
    <m/>
    <m/>
    <m/>
    <s v="25.99.201"/>
    <x v="177"/>
    <n v="2"/>
    <n v="2"/>
    <n v="0"/>
    <n v="0"/>
    <n v="0"/>
    <n v="0"/>
    <n v="2"/>
    <n v="1"/>
    <n v="0"/>
    <n v="0"/>
    <s v="0.00%"/>
  </r>
  <r>
    <x v="2"/>
    <m/>
    <m/>
    <m/>
    <s v="25.99.202"/>
    <x v="178"/>
    <n v="1"/>
    <n v="1"/>
    <n v="0"/>
    <n v="0"/>
    <n v="0"/>
    <n v="0"/>
    <n v="1"/>
    <n v="1"/>
    <n v="0"/>
    <n v="0"/>
    <s v="0.00%"/>
  </r>
  <r>
    <x v="2"/>
    <m/>
    <m/>
    <m/>
    <s v="25.99.999"/>
    <x v="84"/>
    <n v="17"/>
    <n v="26.996000000000002"/>
    <n v="0"/>
    <n v="0"/>
    <n v="0"/>
    <n v="0"/>
    <n v="17"/>
    <n v="0.62972292191435764"/>
    <n v="0"/>
    <n v="0"/>
    <s v="0.00%"/>
  </r>
  <r>
    <x v="8"/>
    <m/>
    <m/>
    <m/>
    <m/>
    <x v="179"/>
    <n v="0"/>
    <n v="0"/>
    <n v="0"/>
    <s v="0.00%"/>
    <n v="0"/>
    <n v="0"/>
    <n v="0"/>
    <n v="0"/>
    <n v="0"/>
    <n v="0"/>
    <s v="0.00%"/>
  </r>
  <r>
    <x v="2"/>
    <n v="1"/>
    <m/>
    <m/>
    <s v="26.01"/>
    <x v="180"/>
    <n v="0"/>
    <n v="0"/>
    <n v="0"/>
    <s v="0.00%"/>
    <n v="0"/>
    <n v="0"/>
    <n v="0"/>
    <n v="0"/>
    <n v="0"/>
    <n v="0"/>
    <s v="0.00%"/>
  </r>
  <r>
    <x v="9"/>
    <s v="  "/>
    <m/>
    <m/>
    <m/>
    <x v="181"/>
    <n v="239135"/>
    <n v="227178"/>
    <n v="25191.001"/>
    <n v="0.11088662194402626"/>
    <n v="25191.001"/>
    <n v="0.11088662194402626"/>
    <n v="201986.99900000001"/>
    <n v="0.88911337805597379"/>
    <n v="273007.12599999999"/>
    <n v="36168.313908000004"/>
    <n v="0.13248120823044013"/>
  </r>
  <r>
    <x v="2"/>
    <n v="3"/>
    <m/>
    <m/>
    <s v="29.03"/>
    <x v="182"/>
    <n v="26050"/>
    <n v="26050"/>
    <n v="25191.001"/>
    <n v="0.96702499040307099"/>
    <n v="25191.001"/>
    <n v="0.96702499040307099"/>
    <n v="858.9989999999998"/>
    <n v="3.2975009596928978E-2"/>
    <n v="34511.040000000001"/>
    <n v="23399.776158000001"/>
    <n v="0.67803740942028989"/>
  </r>
  <r>
    <x v="2"/>
    <n v="4"/>
    <m/>
    <m/>
    <s v="29.04"/>
    <x v="183"/>
    <n v="0"/>
    <n v="0"/>
    <n v="0"/>
    <s v="0.00%"/>
    <n v="0"/>
    <n v="0"/>
    <n v="0"/>
    <n v="0"/>
    <n v="0"/>
    <n v="0"/>
    <s v="0.00%"/>
  </r>
  <r>
    <x v="2"/>
    <n v="5"/>
    <m/>
    <m/>
    <s v="29.05"/>
    <x v="184"/>
    <n v="0"/>
    <n v="0"/>
    <n v="0"/>
    <s v="0.00%"/>
    <n v="0"/>
    <n v="0"/>
    <n v="0"/>
    <n v="0"/>
    <n v="0"/>
    <n v="0"/>
    <s v="0.00%"/>
  </r>
  <r>
    <x v="2"/>
    <s v="06    "/>
    <m/>
    <m/>
    <s v="29.06"/>
    <x v="185"/>
    <n v="0"/>
    <n v="0"/>
    <n v="0"/>
    <s v="0.00%"/>
    <n v="0"/>
    <n v="0"/>
    <n v="0"/>
    <n v="0"/>
    <n v="0"/>
    <n v="0"/>
    <s v="0.00%"/>
  </r>
  <r>
    <x v="6"/>
    <s v="07    "/>
    <m/>
    <m/>
    <s v="29.07"/>
    <x v="186"/>
    <n v="213085"/>
    <n v="201128"/>
    <n v="0"/>
    <n v="0"/>
    <n v="0"/>
    <n v="0"/>
    <n v="201128"/>
    <n v="1"/>
    <n v="238496.08600000001"/>
    <n v="12768.537750000001"/>
    <n v="5.3537724514271488E-2"/>
  </r>
  <r>
    <x v="10"/>
    <m/>
    <m/>
    <m/>
    <m/>
    <x v="187"/>
    <n v="0"/>
    <n v="0"/>
    <n v="0"/>
    <s v="0.00%"/>
    <n v="0"/>
    <n v="0"/>
    <n v="0"/>
    <n v="0"/>
    <n v="0"/>
    <n v="0"/>
    <s v="0.00%"/>
  </r>
  <r>
    <x v="11"/>
    <s v="  "/>
    <m/>
    <m/>
    <m/>
    <x v="188"/>
    <n v="8610052"/>
    <n v="8610052"/>
    <n v="0"/>
    <n v="0"/>
    <n v="0"/>
    <n v="0"/>
    <n v="8610052"/>
    <n v="1"/>
    <n v="7888444.3280000007"/>
    <n v="0"/>
    <n v="0"/>
  </r>
  <r>
    <x v="6"/>
    <n v="4"/>
    <m/>
    <m/>
    <s v="32.04.002"/>
    <x v="189"/>
    <n v="8610052"/>
    <n v="8610052"/>
    <n v="0"/>
    <n v="0"/>
    <n v="0"/>
    <n v="0"/>
    <n v="8610052"/>
    <n v="1"/>
    <n v="7888444.3280000007"/>
    <n v="0"/>
    <n v="0"/>
  </r>
  <r>
    <x v="2"/>
    <m/>
    <m/>
    <m/>
    <m/>
    <x v="190"/>
    <n v="8610052"/>
    <n v="8610052"/>
    <n v="0"/>
    <n v="0"/>
    <m/>
    <n v="0"/>
    <n v="8610052"/>
    <n v="1"/>
    <n v="7888444.3280000007"/>
    <n v="0"/>
    <n v="0"/>
  </r>
  <r>
    <x v="2"/>
    <m/>
    <m/>
    <m/>
    <s v="32.04.003"/>
    <x v="191"/>
    <n v="0"/>
    <n v="0"/>
    <n v="0"/>
    <s v="0.00%"/>
    <n v="0"/>
    <n v="0"/>
    <n v="0"/>
    <n v="0"/>
    <n v="0"/>
    <n v="0"/>
    <s v="0.00%"/>
  </r>
  <r>
    <x v="2"/>
    <m/>
    <m/>
    <m/>
    <s v="32.04.004"/>
    <x v="192"/>
    <n v="0"/>
    <n v="0"/>
    <n v="0"/>
    <s v="0.00%"/>
    <n v="0"/>
    <n v="0"/>
    <n v="0"/>
    <n v="0"/>
    <n v="0"/>
    <n v="0"/>
    <s v="0.00%"/>
  </r>
  <r>
    <x v="12"/>
    <s v="  "/>
    <m/>
    <m/>
    <m/>
    <x v="193"/>
    <n v="296545699"/>
    <n v="240446093"/>
    <n v="13566915.027999999"/>
    <n v="5.6423936270821415E-2"/>
    <n v="14458398.561000001"/>
    <n v="6.0131559555014272E-2"/>
    <n v="225987694.43900001"/>
    <n v="0.93986844044498574"/>
    <n v="283187626.46800005"/>
    <n v="25003162.689013999"/>
    <n v="8.8291861480181352E-2"/>
  </r>
  <r>
    <x v="2"/>
    <s v=".02"/>
    <m/>
    <m/>
    <m/>
    <x v="194"/>
    <n v="0"/>
    <n v="0"/>
    <n v="0"/>
    <s v="0.00%"/>
    <n v="0"/>
    <n v="0"/>
    <n v="0"/>
    <n v="0"/>
    <n v="0"/>
    <n v="0"/>
    <s v="0.00%"/>
  </r>
  <r>
    <x v="2"/>
    <m/>
    <s v=".001"/>
    <m/>
    <s v="33.02.001"/>
    <x v="195"/>
    <n v="0"/>
    <n v="0"/>
    <n v="0"/>
    <s v="0.00%"/>
    <n v="0"/>
    <n v="0"/>
    <n v="0"/>
    <n v="0"/>
    <n v="0"/>
    <n v="0"/>
    <s v="0.00%"/>
  </r>
  <r>
    <x v="2"/>
    <m/>
    <s v=".002"/>
    <m/>
    <s v="33.02.002"/>
    <x v="196"/>
    <n v="0"/>
    <n v="0"/>
    <n v="0"/>
    <s v="0.00%"/>
    <n v="0"/>
    <n v="0"/>
    <n v="0"/>
    <n v="0"/>
    <n v="0"/>
    <n v="0"/>
    <s v="0.00%"/>
  </r>
  <r>
    <x v="2"/>
    <m/>
    <s v=".003"/>
    <m/>
    <s v="33.02.003"/>
    <x v="197"/>
    <n v="0"/>
    <n v="0"/>
    <n v="0"/>
    <s v="0.00%"/>
    <n v="0"/>
    <n v="0"/>
    <n v="0"/>
    <n v="0"/>
    <n v="0"/>
    <n v="0"/>
    <s v="0.00%"/>
  </r>
  <r>
    <x v="2"/>
    <m/>
    <s v=".004"/>
    <m/>
    <s v="33.02.004"/>
    <x v="198"/>
    <n v="0"/>
    <n v="0"/>
    <n v="0"/>
    <s v="0.00%"/>
    <n v="0"/>
    <n v="0"/>
    <n v="0"/>
    <n v="0"/>
    <n v="0"/>
    <n v="0"/>
    <s v="0.00%"/>
  </r>
  <r>
    <x v="2"/>
    <m/>
    <s v=".005"/>
    <m/>
    <s v="33.02.005"/>
    <x v="199"/>
    <n v="0"/>
    <n v="0"/>
    <n v="0"/>
    <s v="0.00%"/>
    <n v="0"/>
    <n v="0"/>
    <n v="0"/>
    <n v="0"/>
    <n v="0"/>
    <n v="0"/>
    <s v="0.00%"/>
  </r>
  <r>
    <x v="2"/>
    <m/>
    <s v=".006"/>
    <m/>
    <s v="33.02.006"/>
    <x v="200"/>
    <n v="0"/>
    <n v="0"/>
    <n v="0"/>
    <s v="0.00%"/>
    <n v="0"/>
    <n v="0"/>
    <n v="0"/>
    <n v="0"/>
    <n v="0"/>
    <n v="0"/>
    <s v="0.00%"/>
  </r>
  <r>
    <x v="2"/>
    <m/>
    <s v=".007"/>
    <m/>
    <s v="33.02.007"/>
    <x v="201"/>
    <n v="0"/>
    <n v="0"/>
    <n v="0"/>
    <s v="0.00%"/>
    <n v="0"/>
    <n v="0"/>
    <n v="0"/>
    <n v="0"/>
    <n v="0"/>
    <n v="0"/>
    <s v="0.00%"/>
  </r>
  <r>
    <x v="2"/>
    <m/>
    <s v=".008"/>
    <m/>
    <s v="33.02.008"/>
    <x v="202"/>
    <n v="0"/>
    <n v="0"/>
    <n v="0"/>
    <s v="0.00%"/>
    <n v="0"/>
    <n v="0"/>
    <n v="0"/>
    <n v="0"/>
    <n v="0"/>
    <n v="0"/>
    <s v="0.00%"/>
  </r>
  <r>
    <x v="2"/>
    <m/>
    <s v=".009"/>
    <m/>
    <s v="33.02.009"/>
    <x v="203"/>
    <n v="0"/>
    <n v="0"/>
    <n v="0"/>
    <s v="0.00%"/>
    <n v="0"/>
    <n v="0"/>
    <n v="0"/>
    <n v="0"/>
    <n v="0"/>
    <n v="0"/>
    <s v="0.00%"/>
  </r>
  <r>
    <x v="2"/>
    <m/>
    <s v=".010"/>
    <m/>
    <s v="33.02.010"/>
    <x v="204"/>
    <n v="0"/>
    <n v="0"/>
    <n v="0"/>
    <s v="0.00%"/>
    <n v="0"/>
    <n v="0"/>
    <n v="0"/>
    <n v="0"/>
    <n v="0"/>
    <n v="0"/>
    <s v="0.00%"/>
  </r>
  <r>
    <x v="2"/>
    <m/>
    <s v=".011"/>
    <m/>
    <s v="33.02.011"/>
    <x v="205"/>
    <n v="0"/>
    <n v="0"/>
    <n v="0"/>
    <s v="0.00%"/>
    <n v="0"/>
    <n v="0"/>
    <n v="0"/>
    <n v="0"/>
    <n v="0"/>
    <n v="0"/>
    <s v="0.00%"/>
  </r>
  <r>
    <x v="2"/>
    <m/>
    <s v=".012"/>
    <m/>
    <s v="33.02.012"/>
    <x v="206"/>
    <n v="0"/>
    <n v="0"/>
    <n v="0"/>
    <s v="0.00%"/>
    <n v="0"/>
    <n v="0"/>
    <n v="0"/>
    <n v="0"/>
    <n v="0"/>
    <n v="0"/>
    <s v="0.00%"/>
  </r>
  <r>
    <x v="2"/>
    <m/>
    <s v=".013"/>
    <m/>
    <s v="33.02.013"/>
    <x v="207"/>
    <n v="0"/>
    <n v="0"/>
    <n v="0"/>
    <s v="0.00%"/>
    <n v="0"/>
    <n v="0"/>
    <n v="0"/>
    <n v="0"/>
    <n v="0"/>
    <n v="0"/>
    <s v="0.00%"/>
  </r>
  <r>
    <x v="2"/>
    <m/>
    <s v=".014"/>
    <m/>
    <s v="33.02.014"/>
    <x v="208"/>
    <n v="0"/>
    <n v="0"/>
    <n v="0"/>
    <s v="0.00%"/>
    <n v="0"/>
    <n v="0"/>
    <n v="0"/>
    <n v="0"/>
    <n v="0"/>
    <n v="0"/>
    <s v="0.00%"/>
  </r>
  <r>
    <x v="2"/>
    <m/>
    <s v=".015"/>
    <m/>
    <s v="33.02.015"/>
    <x v="209"/>
    <n v="0"/>
    <n v="0"/>
    <n v="0"/>
    <s v="0.00%"/>
    <n v="0"/>
    <n v="0"/>
    <n v="0"/>
    <n v="0"/>
    <n v="0"/>
    <n v="0"/>
    <s v="0.00%"/>
  </r>
  <r>
    <x v="2"/>
    <m/>
    <s v=".016"/>
    <m/>
    <s v="33.02.016"/>
    <x v="210"/>
    <n v="0"/>
    <n v="0"/>
    <n v="0"/>
    <s v="0.00%"/>
    <n v="0"/>
    <n v="0"/>
    <n v="0"/>
    <n v="0"/>
    <n v="0"/>
    <n v="0"/>
    <s v="0.00%"/>
  </r>
  <r>
    <x v="2"/>
    <m/>
    <s v=".017"/>
    <m/>
    <s v="33.02.017"/>
    <x v="211"/>
    <n v="0"/>
    <n v="0"/>
    <n v="0"/>
    <s v="0.00%"/>
    <n v="0"/>
    <n v="0"/>
    <n v="0"/>
    <n v="0"/>
    <n v="0"/>
    <n v="0"/>
    <s v="0.00%"/>
  </r>
  <r>
    <x v="2"/>
    <m/>
    <s v=".025"/>
    <m/>
    <s v="33.02.025"/>
    <x v="212"/>
    <n v="0"/>
    <n v="0"/>
    <n v="0"/>
    <s v="0.00%"/>
    <n v="0"/>
    <n v="0"/>
    <n v="0"/>
    <n v="0"/>
    <n v="0"/>
    <n v="0"/>
    <s v="0.00%"/>
  </r>
  <r>
    <x v="2"/>
    <m/>
    <s v=".018"/>
    <m/>
    <s v="33.02.018"/>
    <x v="213"/>
    <n v="0"/>
    <n v="0"/>
    <n v="0"/>
    <s v="0.00%"/>
    <n v="0"/>
    <n v="0"/>
    <n v="0"/>
    <n v="0"/>
    <n v="0"/>
    <n v="0"/>
    <s v="0.00%"/>
  </r>
  <r>
    <x v="2"/>
    <m/>
    <s v=".100"/>
    <m/>
    <s v="33.02.100"/>
    <x v="214"/>
    <n v="0"/>
    <n v="0"/>
    <n v="0"/>
    <s v="0.00%"/>
    <n v="0"/>
    <n v="0"/>
    <n v="0"/>
    <n v="0"/>
    <n v="0"/>
    <n v="0"/>
    <s v="0.00%"/>
  </r>
  <r>
    <x v="2"/>
    <m/>
    <s v=".107"/>
    <m/>
    <s v="33.02.107"/>
    <x v="215"/>
    <n v="0"/>
    <n v="0"/>
    <n v="0"/>
    <s v="0.00%"/>
    <n v="0"/>
    <n v="0"/>
    <n v="0"/>
    <n v="0"/>
    <n v="0"/>
    <n v="0"/>
    <s v="0.00%"/>
  </r>
  <r>
    <x v="2"/>
    <m/>
    <s v=".914"/>
    <m/>
    <s v="33.02.914"/>
    <x v="145"/>
    <n v="0"/>
    <n v="0"/>
    <n v="0"/>
    <s v="0.00%"/>
    <n v="0"/>
    <n v="0"/>
    <n v="0"/>
    <n v="0"/>
    <n v="0"/>
    <n v="0"/>
    <s v="0.00%"/>
  </r>
  <r>
    <x v="2"/>
    <m/>
    <s v=".916"/>
    <m/>
    <s v="33.02.916"/>
    <x v="126"/>
    <n v="0"/>
    <n v="0"/>
    <n v="0"/>
    <s v="0.00%"/>
    <n v="0"/>
    <n v="0"/>
    <n v="0"/>
    <n v="0"/>
    <n v="0"/>
    <n v="0"/>
    <s v="0.00%"/>
  </r>
  <r>
    <x v="2"/>
    <m/>
    <s v=".020"/>
    <m/>
    <s v="33.02.020"/>
    <x v="216"/>
    <n v="0"/>
    <n v="0"/>
    <n v="0"/>
    <s v="0.00%"/>
    <n v="0"/>
    <n v="0"/>
    <n v="0"/>
    <n v="0"/>
    <n v="0"/>
    <n v="0"/>
    <s v="0.00%"/>
  </r>
  <r>
    <x v="2"/>
    <s v=".03"/>
    <m/>
    <m/>
    <m/>
    <x v="217"/>
    <n v="296545699"/>
    <n v="240446093"/>
    <n v="13566915.027999999"/>
    <n v="5.6423936270821415E-2"/>
    <n v="14458398.561000001"/>
    <n v="6.0131559555014272E-2"/>
    <n v="225987694.43900001"/>
    <n v="0.93986844044498574"/>
    <n v="283187626.46800005"/>
    <n v="25003162.689013999"/>
    <n v="8.8291861480181352E-2"/>
  </r>
  <r>
    <x v="2"/>
    <m/>
    <s v=".001"/>
    <m/>
    <s v="33.03.001"/>
    <x v="218"/>
    <n v="82544640"/>
    <n v="41272320"/>
    <n v="0"/>
    <n v="0"/>
    <n v="0"/>
    <n v="0"/>
    <n v="41272320"/>
    <n v="1"/>
    <n v="42123040.686000004"/>
    <n v="0"/>
    <n v="0"/>
  </r>
  <r>
    <x v="2"/>
    <m/>
    <s v=".005"/>
    <m/>
    <m/>
    <x v="219"/>
    <n v="95697781"/>
    <n v="86065927"/>
    <n v="11134674.191"/>
    <n v="0.12937377867317923"/>
    <n v="11189334.408"/>
    <n v="0.13000887573081041"/>
    <n v="74876592.592000008"/>
    <n v="0.86999112426918968"/>
    <n v="98982010.986000001"/>
    <n v="23323405.706440002"/>
    <n v="0.23563277280493786"/>
  </r>
  <r>
    <x v="2"/>
    <m/>
    <m/>
    <m/>
    <s v="33.03.120.005.01"/>
    <x v="220"/>
    <n v="44226748"/>
    <n v="44226748"/>
    <n v="0"/>
    <n v="0"/>
    <n v="0"/>
    <n v="0"/>
    <n v="44226748"/>
    <n v="1"/>
    <n v="45417296.072999999"/>
    <n v="0"/>
    <n v="0"/>
  </r>
  <r>
    <x v="2"/>
    <m/>
    <m/>
    <m/>
    <s v="33.03.120.005.02"/>
    <x v="221"/>
    <n v="33521770"/>
    <n v="23589916"/>
    <n v="107808.223"/>
    <n v="4.5700977909374496E-3"/>
    <n v="162468.44"/>
    <n v="6.8871987505169582E-3"/>
    <n v="23427447.559999999"/>
    <n v="0.99311280124948298"/>
    <n v="32853098.691"/>
    <n v="17825197.872978002"/>
    <n v="0.54257280388169771"/>
  </r>
  <r>
    <x v="2"/>
    <m/>
    <m/>
    <m/>
    <s v="33.03.120.005.05"/>
    <x v="222"/>
    <n v="17949263"/>
    <n v="17949263"/>
    <n v="11026865.968"/>
    <n v="0.61433530546630244"/>
    <n v="11026865.968"/>
    <n v="0.61433530546630244"/>
    <n v="6922397.0319999997"/>
    <n v="0.38566469453369756"/>
    <n v="17949262.760000002"/>
    <n v="5498207.8334619999"/>
    <n v="0.30631942420023939"/>
  </r>
  <r>
    <x v="2"/>
    <m/>
    <m/>
    <m/>
    <s v="33.03.120.005.05"/>
    <x v="223"/>
    <n v="0"/>
    <n v="300000"/>
    <n v="0"/>
    <n v="0"/>
    <n v="0"/>
    <n v="0"/>
    <n v="300000"/>
    <n v="1"/>
    <n v="2762353.4620000003"/>
    <n v="0"/>
    <n v="0"/>
  </r>
  <r>
    <x v="2"/>
    <m/>
    <n v="6"/>
    <m/>
    <m/>
    <x v="224"/>
    <n v="56114193"/>
    <n v="56114193"/>
    <n v="26805"/>
    <n v="4.7768663446696985E-4"/>
    <n v="26805"/>
    <n v="4.7768663446696985E-4"/>
    <n v="56087388"/>
    <n v="0.99952231336553299"/>
    <n v="59528165.83600001"/>
    <n v="1377699.1508220001"/>
    <n v="2.3143651941461774E-2"/>
  </r>
  <r>
    <x v="2"/>
    <m/>
    <m/>
    <m/>
    <s v="33.03.120.006.01"/>
    <x v="225"/>
    <n v="6527670"/>
    <n v="6527670"/>
    <n v="16805"/>
    <n v="2.5744254841313977E-3"/>
    <n v="16805"/>
    <n v="2.5744254841313977E-3"/>
    <n v="6510865"/>
    <n v="0.99742557451586855"/>
    <n v="7397554.1621480007"/>
    <n v="129643.035"/>
    <n v="1.7525121433157043E-2"/>
  </r>
  <r>
    <x v="2"/>
    <m/>
    <m/>
    <m/>
    <s v="33.03.120.006.03"/>
    <x v="226"/>
    <n v="5360526"/>
    <n v="5360526"/>
    <n v="0"/>
    <n v="0"/>
    <n v="0"/>
    <n v="0"/>
    <n v="5360526"/>
    <n v="1"/>
    <n v="3301055.1809880002"/>
    <n v="0"/>
    <n v="0"/>
  </r>
  <r>
    <x v="2"/>
    <m/>
    <m/>
    <m/>
    <s v="33.03.120.006.04"/>
    <x v="227"/>
    <n v="2440674"/>
    <n v="2440674"/>
    <n v="10000"/>
    <n v="4.0972288802191524E-3"/>
    <n v="10000"/>
    <n v="4.0972288802191524E-3"/>
    <n v="2430674"/>
    <n v="0.99590277111978087"/>
    <n v="2803139.562502"/>
    <n v="0"/>
    <n v="0"/>
  </r>
  <r>
    <x v="2"/>
    <m/>
    <m/>
    <m/>
    <s v="33.03.120.006.05"/>
    <x v="228"/>
    <n v="2266492"/>
    <n v="2266492"/>
    <n v="0"/>
    <n v="0"/>
    <n v="0"/>
    <n v="0"/>
    <n v="2266492"/>
    <n v="1"/>
    <n v="1841602.4596839999"/>
    <n v="37720.400000000001"/>
    <n v="2.0482379246209541E-2"/>
  </r>
  <r>
    <x v="2"/>
    <m/>
    <m/>
    <m/>
    <s v="33.03.120.006.06"/>
    <x v="229"/>
    <n v="8048156"/>
    <n v="8048156"/>
    <n v="0"/>
    <n v="0"/>
    <n v="0"/>
    <n v="0"/>
    <n v="8048156"/>
    <n v="1"/>
    <n v="21682743.550000001"/>
    <n v="0"/>
    <n v="0"/>
  </r>
  <r>
    <x v="2"/>
    <m/>
    <m/>
    <m/>
    <s v="33.03.120.006.07"/>
    <x v="230"/>
    <n v="31470675"/>
    <n v="31470675"/>
    <n v="0"/>
    <n v="0"/>
    <n v="0"/>
    <n v="0"/>
    <n v="31470675"/>
    <n v="1"/>
    <n v="22502070.920678001"/>
    <n v="1210335.7158220001"/>
    <n v="5.3787747807237461E-2"/>
  </r>
  <r>
    <x v="2"/>
    <m/>
    <s v=".010"/>
    <m/>
    <s v="33.03.010"/>
    <x v="231"/>
    <n v="0"/>
    <n v="0"/>
    <n v="0"/>
    <s v="0.00%"/>
    <n v="0"/>
    <n v="0"/>
    <n v="0"/>
    <n v="0"/>
    <n v="0"/>
    <n v="0"/>
    <s v="0.00%"/>
  </r>
  <r>
    <x v="2"/>
    <m/>
    <s v=".017"/>
    <m/>
    <s v="33.03.017"/>
    <x v="232"/>
    <n v="0"/>
    <n v="0"/>
    <n v="0"/>
    <s v="0.00%"/>
    <n v="0"/>
    <n v="0"/>
    <n v="0"/>
    <n v="0"/>
    <n v="0"/>
    <n v="0"/>
    <s v="0.00%"/>
  </r>
  <r>
    <x v="2"/>
    <m/>
    <s v=".020"/>
    <m/>
    <s v="33.03.020"/>
    <x v="233"/>
    <n v="0"/>
    <n v="0"/>
    <n v="0"/>
    <s v="0.00%"/>
    <n v="0"/>
    <n v="0"/>
    <n v="0"/>
    <n v="0"/>
    <n v="0"/>
    <n v="0"/>
    <s v="0.00%"/>
  </r>
  <r>
    <x v="2"/>
    <m/>
    <s v=".021"/>
    <m/>
    <s v="33.03.021"/>
    <x v="234"/>
    <n v="0"/>
    <n v="0"/>
    <n v="0"/>
    <s v="0.00%"/>
    <n v="0"/>
    <n v="0"/>
    <n v="0"/>
    <n v="0"/>
    <n v="0"/>
    <n v="0"/>
    <s v="0.00%"/>
  </r>
  <r>
    <x v="2"/>
    <m/>
    <s v=".025"/>
    <m/>
    <s v="33.03.025"/>
    <x v="235"/>
    <n v="0"/>
    <n v="0"/>
    <n v="0"/>
    <s v="0.00%"/>
    <n v="0"/>
    <n v="0"/>
    <n v="0"/>
    <n v="0"/>
    <n v="0"/>
    <n v="0"/>
    <s v="0.00%"/>
  </r>
  <r>
    <x v="2"/>
    <m/>
    <s v=".100"/>
    <m/>
    <s v="33.03.120.100"/>
    <x v="236"/>
    <n v="9562068"/>
    <n v="9562068"/>
    <n v="2400929.7030000002"/>
    <n v="0.25108895931298547"/>
    <n v="3070652.1630000002"/>
    <n v="0.32112845913666377"/>
    <n v="6491415.8369999994"/>
    <n v="0.67887154086333623"/>
    <n v="10127864.880000001"/>
    <n v="0"/>
    <n v="0"/>
  </r>
  <r>
    <x v="2"/>
    <m/>
    <s v=".110"/>
    <m/>
    <s v="33.03.110"/>
    <x v="237"/>
    <n v="17361590"/>
    <n v="17361590"/>
    <n v="0"/>
    <n v="0"/>
    <n v="0"/>
    <n v="0"/>
    <n v="17361590"/>
    <n v="1"/>
    <n v="17806759.881999999"/>
    <n v="0"/>
    <n v="0"/>
  </r>
  <r>
    <x v="2"/>
    <m/>
    <s v=".111"/>
    <m/>
    <s v="33.03.111"/>
    <x v="238"/>
    <n v="9905707"/>
    <n v="9905707"/>
    <n v="0"/>
    <n v="0"/>
    <n v="0"/>
    <n v="0"/>
    <n v="9905707"/>
    <n v="1"/>
    <n v="9312923.9739999995"/>
    <n v="155678.39698399999"/>
    <n v="1.6716382246717135E-2"/>
  </r>
  <r>
    <x v="2"/>
    <m/>
    <s v=".112"/>
    <m/>
    <s v="33.03.112"/>
    <x v="239"/>
    <n v="3995732"/>
    <n v="3995732"/>
    <n v="0"/>
    <n v="0"/>
    <n v="0"/>
    <n v="0"/>
    <n v="3995732"/>
    <n v="1"/>
    <n v="4098186"/>
    <n v="0"/>
    <n v="0"/>
  </r>
  <r>
    <x v="2"/>
    <m/>
    <s v=".130"/>
    <m/>
    <s v="33.03.130"/>
    <x v="240"/>
    <n v="0"/>
    <n v="0"/>
    <n v="0"/>
    <s v="0.00%"/>
    <n v="0"/>
    <n v="0"/>
    <n v="0"/>
    <n v="0"/>
    <n v="0"/>
    <n v="0"/>
    <s v="0.00%"/>
  </r>
  <r>
    <x v="2"/>
    <m/>
    <s v=".190"/>
    <m/>
    <s v="33.03.190"/>
    <x v="241"/>
    <n v="0"/>
    <n v="0"/>
    <n v="0"/>
    <s v="0.00%"/>
    <n v="0"/>
    <n v="0"/>
    <n v="0"/>
    <n v="0"/>
    <n v="0"/>
    <n v="0"/>
    <s v="0.00%"/>
  </r>
  <r>
    <x v="2"/>
    <m/>
    <s v=".418"/>
    <m/>
    <s v="33.03.418"/>
    <x v="242"/>
    <n v="0"/>
    <n v="0"/>
    <n v="0"/>
    <s v="0.00%"/>
    <n v="0"/>
    <n v="0"/>
    <n v="0"/>
    <n v="0"/>
    <n v="0"/>
    <n v="0"/>
    <s v="0.00%"/>
  </r>
  <r>
    <x v="2"/>
    <m/>
    <s v=".421"/>
    <m/>
    <s v="33.03.421"/>
    <x v="243"/>
    <n v="0"/>
    <n v="0"/>
    <n v="0"/>
    <s v="0.00%"/>
    <n v="0"/>
    <n v="0"/>
    <n v="0"/>
    <n v="0"/>
    <n v="0"/>
    <n v="0"/>
    <s v="0.00%"/>
  </r>
  <r>
    <x v="2"/>
    <m/>
    <s v=".426"/>
    <m/>
    <s v="33.03.426"/>
    <x v="244"/>
    <n v="0"/>
    <n v="0"/>
    <n v="0"/>
    <s v="0.00%"/>
    <n v="0"/>
    <n v="0"/>
    <n v="0"/>
    <n v="0"/>
    <n v="0"/>
    <n v="0"/>
    <s v="0.00%"/>
  </r>
  <r>
    <x v="2"/>
    <m/>
    <s v=".427"/>
    <m/>
    <s v="33.03.427"/>
    <x v="245"/>
    <n v="0"/>
    <n v="0"/>
    <n v="0"/>
    <s v="0.00%"/>
    <n v="0"/>
    <n v="0"/>
    <n v="0"/>
    <n v="0"/>
    <n v="0"/>
    <n v="0"/>
    <s v="0.00%"/>
  </r>
  <r>
    <x v="2"/>
    <m/>
    <s v=".428"/>
    <m/>
    <s v="33.03.428"/>
    <x v="246"/>
    <n v="0"/>
    <n v="0"/>
    <n v="0"/>
    <s v="0.00%"/>
    <n v="0"/>
    <n v="0"/>
    <n v="0"/>
    <n v="0"/>
    <n v="0"/>
    <n v="0"/>
    <s v="0.00%"/>
  </r>
  <r>
    <x v="2"/>
    <m/>
    <s v=".429"/>
    <m/>
    <s v="33.03.429"/>
    <x v="247"/>
    <n v="0"/>
    <n v="0"/>
    <n v="0"/>
    <s v="0.00%"/>
    <n v="0"/>
    <n v="0"/>
    <n v="0"/>
    <n v="0"/>
    <n v="0"/>
    <n v="0"/>
    <s v="0.00%"/>
  </r>
  <r>
    <x v="2"/>
    <m/>
    <s v=".431"/>
    <m/>
    <s v="33.03.431"/>
    <x v="248"/>
    <n v="0"/>
    <n v="0"/>
    <n v="0"/>
    <s v="0.00%"/>
    <n v="0"/>
    <n v="0"/>
    <n v="0"/>
    <n v="0"/>
    <n v="0"/>
    <n v="0"/>
    <s v="0.00%"/>
  </r>
  <r>
    <x v="2"/>
    <m/>
    <s v=".432"/>
    <m/>
    <s v="33.03.432"/>
    <x v="249"/>
    <n v="19944797"/>
    <n v="14820325"/>
    <n v="0"/>
    <n v="0"/>
    <n v="0"/>
    <n v="0"/>
    <n v="14820325"/>
    <n v="1"/>
    <n v="39889594.962000005"/>
    <n v="0"/>
    <n v="0"/>
  </r>
  <r>
    <x v="2"/>
    <m/>
    <s v=".433"/>
    <m/>
    <s v="33.03.433"/>
    <x v="250"/>
    <n v="0"/>
    <n v="0"/>
    <n v="0"/>
    <s v="0.00%"/>
    <n v="0"/>
    <n v="0"/>
    <n v="0"/>
    <n v="0"/>
    <n v="0"/>
    <n v="0"/>
    <s v="0.00%"/>
  </r>
  <r>
    <x v="2"/>
    <m/>
    <s v=".602"/>
    <m/>
    <s v="33.03.602"/>
    <x v="251"/>
    <n v="1419191"/>
    <n v="1348231"/>
    <n v="4506.134"/>
    <n v="3.3422566310965999E-3"/>
    <n v="171606.99"/>
    <n v="0.12728307686145771"/>
    <n v="1176624.01"/>
    <n v="0.87271692313854232"/>
    <n v="1319079.2619999999"/>
    <n v="146379.43476800001"/>
    <n v="0.11097091659682239"/>
  </r>
  <r>
    <x v="2"/>
    <m/>
    <s v=".001"/>
    <m/>
    <s v="33.03.001"/>
    <x v="252"/>
    <n v="707902"/>
    <n v="596942.18299999996"/>
    <n v="0"/>
    <n v="0"/>
    <n v="0"/>
    <n v="0"/>
    <n v="596942.18299999996"/>
    <n v="1"/>
    <n v="502652.46400000004"/>
    <n v="140596.334768"/>
    <n v="0.27970883430902665"/>
  </r>
  <r>
    <x v="2"/>
    <m/>
    <s v=".002"/>
    <m/>
    <s v="33.03.002"/>
    <x v="253"/>
    <n v="311367.39799999999"/>
    <n v="315368"/>
    <n v="4506.134"/>
    <n v="1.4288494710940869E-2"/>
    <n v="171606.99"/>
    <n v="0.54414839172014917"/>
    <n v="143761.01"/>
    <n v="0.45585160827985088"/>
    <n v="369101.408"/>
    <n v="5783.1"/>
    <n v="1.5668051854193957E-2"/>
  </r>
  <r>
    <x v="2"/>
    <m/>
    <s v=".003"/>
    <m/>
    <s v="33.03.003"/>
    <x v="254"/>
    <n v="236820.785"/>
    <n v="272819.58100000001"/>
    <n v="0"/>
    <n v="0"/>
    <n v="0"/>
    <n v="0"/>
    <n v="272819.58100000001"/>
    <n v="1"/>
    <n v="342848.21799999999"/>
    <n v="0"/>
    <n v="0"/>
  </r>
  <r>
    <x v="2"/>
    <m/>
    <s v=".004"/>
    <m/>
    <s v="33.03.004"/>
    <x v="255"/>
    <n v="91100.816999999995"/>
    <n v="91101.236000000004"/>
    <n v="0"/>
    <n v="0"/>
    <n v="0"/>
    <n v="0"/>
    <n v="91101.236000000004"/>
    <n v="1"/>
    <n v="43020.012000000002"/>
    <n v="0"/>
    <n v="0"/>
  </r>
  <r>
    <x v="2"/>
    <m/>
    <s v=".005"/>
    <m/>
    <s v="33.03.005"/>
    <x v="256"/>
    <n v="72000"/>
    <n v="72000"/>
    <n v="0"/>
    <n v="0"/>
    <n v="0"/>
    <n v="0"/>
    <n v="72000"/>
    <n v="1"/>
    <n v="61457.16"/>
    <n v="0"/>
    <n v="0"/>
  </r>
  <r>
    <x v="13"/>
    <m/>
    <m/>
    <m/>
    <m/>
    <x v="257"/>
    <n v="16451829.199999999"/>
    <n v="16451829.199999999"/>
    <n v="50643295.095999993"/>
    <n v="1"/>
    <n v="50643295.095999993"/>
    <n v="1"/>
    <n v="-34191465.895999998"/>
    <n v="1"/>
    <n v="15889525.000599999"/>
    <n v="26539260.16629400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10CBBB-391B-4803-8A01-38C2F669A921}" name="TablaDinámica7"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72:D179"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59">
        <item x="108"/>
        <item x="110"/>
        <item x="162"/>
        <item x="146"/>
        <item x="124"/>
        <item x="115"/>
        <item x="231"/>
        <item x="232"/>
        <item x="233"/>
        <item x="234"/>
        <item x="235"/>
        <item x="237"/>
        <item x="238"/>
        <item x="164"/>
        <item x="165"/>
        <item x="163"/>
        <item x="167"/>
        <item x="125"/>
        <item x="145"/>
        <item x="166"/>
        <item x="217"/>
        <item x="18"/>
        <item x="170"/>
        <item x="75"/>
        <item x="187"/>
        <item x="181"/>
        <item x="150"/>
        <item x="70"/>
        <item x="29"/>
        <item x="126"/>
        <item x="194"/>
        <item x="127"/>
        <item x="213"/>
        <item x="43"/>
        <item x="15"/>
        <item x="192"/>
        <item x="191"/>
        <item x="17"/>
        <item x="95"/>
        <item x="96"/>
        <item x="98"/>
        <item x="97"/>
        <item x="8"/>
        <item x="5"/>
        <item x="10"/>
        <item x="14"/>
        <item x="37"/>
        <item x="7"/>
        <item x="25"/>
        <item x="6"/>
        <item x="36"/>
        <item x="11"/>
        <item x="34"/>
        <item x="35"/>
        <item x="20"/>
        <item x="12"/>
        <item x="225"/>
        <item x="45"/>
        <item x="30"/>
        <item x="31"/>
        <item x="51"/>
        <item x="147"/>
        <item x="52"/>
        <item x="28"/>
        <item x="27"/>
        <item x="13"/>
        <item x="0"/>
        <item x="72"/>
        <item x="222"/>
        <item x="104"/>
        <item x="189"/>
        <item x="22"/>
        <item x="23"/>
        <item x="21"/>
        <item x="180"/>
        <item x="168"/>
        <item x="69"/>
        <item x="221"/>
        <item x="223"/>
        <item x="76"/>
        <item x="185"/>
        <item x="66"/>
        <item x="103"/>
        <item x="228"/>
        <item x="117"/>
        <item x="249"/>
        <item x="247"/>
        <item x="250"/>
        <item x="112"/>
        <item x="123"/>
        <item x="122"/>
        <item x="119"/>
        <item x="116"/>
        <item x="71"/>
        <item x="101"/>
        <item x="9"/>
        <item x="1"/>
        <item x="107"/>
        <item x="212"/>
        <item x="39"/>
        <item x="40"/>
        <item x="41"/>
        <item x="111"/>
        <item x="173"/>
        <item x="62"/>
        <item x="178"/>
        <item x="177"/>
        <item x="175"/>
        <item x="176"/>
        <item x="229"/>
        <item x="78"/>
        <item x="83"/>
        <item x="80"/>
        <item x="82"/>
        <item x="81"/>
        <item x="79"/>
        <item x="77"/>
        <item x="184"/>
        <item x="55"/>
        <item x="54"/>
        <item x="63"/>
        <item x="60"/>
        <item x="59"/>
        <item x="61"/>
        <item x="183"/>
        <item x="190"/>
        <item x="154"/>
        <item x="236"/>
        <item x="224"/>
        <item x="219"/>
        <item x="160"/>
        <item x="251"/>
        <item x="155"/>
        <item x="239"/>
        <item x="230"/>
        <item x="159"/>
        <item x="172"/>
        <item x="157"/>
        <item x="44"/>
        <item x="16"/>
        <item x="19"/>
        <item x="113"/>
        <item x="38"/>
        <item x="227"/>
        <item x="84"/>
        <item x="67"/>
        <item x="179"/>
        <item x="106"/>
        <item x="174"/>
        <item x="65"/>
        <item x="53"/>
        <item x="92"/>
        <item x="32"/>
        <item x="2"/>
        <item x="255"/>
        <item x="169"/>
        <item x="109"/>
        <item x="188"/>
        <item x="100"/>
        <item x="58"/>
        <item x="57"/>
        <item x="149"/>
        <item x="152"/>
        <item x="171"/>
        <item x="161"/>
        <item x="216"/>
        <item x="137"/>
        <item x="139"/>
        <item x="132"/>
        <item x="133"/>
        <item x="134"/>
        <item x="140"/>
        <item x="129"/>
        <item x="142"/>
        <item x="130"/>
        <item x="138"/>
        <item x="131"/>
        <item x="136"/>
        <item x="141"/>
        <item x="143"/>
        <item x="128"/>
        <item x="135"/>
        <item x="195"/>
        <item x="196"/>
        <item x="197"/>
        <item x="198"/>
        <item x="203"/>
        <item x="207"/>
        <item x="199"/>
        <item x="200"/>
        <item x="201"/>
        <item x="202"/>
        <item x="204"/>
        <item x="205"/>
        <item x="206"/>
        <item x="208"/>
        <item x="209"/>
        <item x="210"/>
        <item x="186"/>
        <item x="244"/>
        <item x="218"/>
        <item x="243"/>
        <item x="242"/>
        <item x="241"/>
        <item x="240"/>
        <item x="248"/>
        <item x="245"/>
        <item x="246"/>
        <item x="85"/>
        <item x="214"/>
        <item x="24"/>
        <item x="64"/>
        <item x="93"/>
        <item x="105"/>
        <item x="257"/>
        <item x="144"/>
        <item x="215"/>
        <item x="68"/>
        <item x="89"/>
        <item x="156"/>
        <item x="87"/>
        <item x="91"/>
        <item x="86"/>
        <item x="94"/>
        <item x="90"/>
        <item x="99"/>
        <item x="88"/>
        <item x="256"/>
        <item x="102"/>
        <item x="252"/>
        <item x="254"/>
        <item x="151"/>
        <item x="211"/>
        <item x="4"/>
        <item x="33"/>
        <item x="3"/>
        <item x="42"/>
        <item x="74"/>
        <item x="73"/>
        <item x="226"/>
        <item x="49"/>
        <item x="48"/>
        <item x="56"/>
        <item x="26"/>
        <item x="220"/>
        <item x="114"/>
        <item x="193"/>
        <item x="148"/>
        <item x="153"/>
        <item x="253"/>
        <item x="120"/>
        <item x="121"/>
        <item x="158"/>
        <item x="118"/>
        <item x="182"/>
        <item x="50"/>
        <item x="46"/>
        <item x="47"/>
        <item t="default"/>
      </items>
    </pivotField>
    <pivotField numFmtId="3" showAll="0"/>
    <pivotField numFmtId="3" showAll="0"/>
    <pivotField numFmtId="3" showAll="0"/>
    <pivotField dataField="1" showAll="0"/>
    <pivotField showAll="0"/>
    <pivotField numFmtId="172" showAll="0"/>
    <pivotField showAll="0"/>
    <pivotField numFmtId="172" showAll="0"/>
    <pivotField showAll="0"/>
    <pivotField showAll="0"/>
    <pivotField dataField="1"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 Ejecución 2025." fld="9" baseField="5" baseItem="24"/>
    <dataField name="% Ejecución 2024." fld="16" baseField="5" baseItem="24"/>
  </dataFields>
  <formats count="1">
    <format dxfId="44">
      <pivotArea outline="0" collapsedLevelsAreSubtotals="1" fieldPosition="0"/>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C9C63FF-D5E8-401D-9A8F-0246DD590738}" name="TablaDinámica2"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B57:C60" firstHeaderRow="1" firstDataRow="1" firstDataCol="1" rowPageCount="1" colPageCount="1"/>
  <pivotFields count="18">
    <pivotField axis="axisPage" multipleItemSelectionAllowed="1" showAll="0">
      <items count="5">
        <item h="1" x="0"/>
        <item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5">
    <chartFormat chart="0" format="0"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ADEE90F-8503-4693-A5AD-E85C98E65DB4}" name="TablaDinámica4"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0">
  <location ref="B30:C33" firstHeaderRow="1" firstDataRow="1" firstDataCol="1" rowPageCount="1" colPageCount="1"/>
  <pivotFields count="18">
    <pivotField axis="axisPage" multipleItemSelectionAllowed="1" showAll="0">
      <items count="5">
        <item x="0"/>
        <item h="1" x="1"/>
        <item h="1"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1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5" format="7" series="1">
      <pivotArea type="data" outline="0" fieldPosition="0">
        <references count="1">
          <reference field="4294967294" count="1" selected="0">
            <x v="0"/>
          </reference>
        </references>
      </pivotArea>
    </chartFormat>
    <chartFormat chart="5" format="8">
      <pivotArea type="data" outline="0" fieldPosition="0">
        <references count="1">
          <reference field="4294967294" count="1" selected="0">
            <x v="0"/>
          </reference>
        </references>
      </pivotArea>
    </chartFormat>
    <chartFormat chart="5" format="9">
      <pivotArea type="data" outline="0" fieldPosition="0">
        <references count="1">
          <reference field="4294967294" count="1" selected="0">
            <x v="1"/>
          </reference>
        </references>
      </pivotArea>
    </chartFormat>
    <chartFormat chart="5" format="10">
      <pivotArea type="data" outline="0" fieldPosition="0">
        <references count="1">
          <reference field="4294967294" count="1" selected="0">
            <x v="2"/>
          </reference>
        </references>
      </pivotArea>
    </chartFormat>
    <chartFormat chart="7" format="7" series="1">
      <pivotArea type="data" outline="0" fieldPosition="0">
        <references count="1">
          <reference field="4294967294" count="1" selected="0">
            <x v="0"/>
          </reference>
        </references>
      </pivotArea>
    </chartFormat>
    <chartFormat chart="7" format="8">
      <pivotArea type="data" outline="0" fieldPosition="0">
        <references count="1">
          <reference field="4294967294" count="1" selected="0">
            <x v="0"/>
          </reference>
        </references>
      </pivotArea>
    </chartFormat>
    <chartFormat chart="7" format="9">
      <pivotArea type="data" outline="0" fieldPosition="0">
        <references count="1">
          <reference field="4294967294" count="1" selected="0">
            <x v="1"/>
          </reference>
        </references>
      </pivotArea>
    </chartFormat>
    <chartFormat chart="7" format="10">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44C781F-FC96-45A4-B43D-FCD87021D766}" name="TablaDinámica5"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113:C116" firstHeaderRow="1" firstDataRow="1" firstDataCol="1" rowPageCount="1" colPageCount="1"/>
  <pivotFields count="18">
    <pivotField axis="axisPage" multipleItemSelectionAllowed="1" showAll="0">
      <items count="5">
        <item h="1" x="0"/>
        <item h="1" x="1"/>
        <item h="1"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3F95777-0BFE-4527-BA3F-63294690D736}" name="TablaDinámica3"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85:C88" firstHeaderRow="1" firstDataRow="1" firstDataCol="1" rowPageCount="1" colPageCount="1"/>
  <pivotFields count="18">
    <pivotField axis="axisPage" multipleItemSelectionAllowed="1" showAll="0">
      <items count="5">
        <item h="1" x="0"/>
        <item h="1" x="1"/>
        <item x="2"/>
        <item h="1"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1" numFmtId="3"/>
    <dataField name="Saldo disponible." fld="12" baseField="0" baseItem="1" numFmtId="41"/>
    <dataField name="Saldo por ejecutar." fld="17" baseField="0" baseItem="1"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pivotArea type="data" outline="0" fieldPosition="0">
        <references count="1">
          <reference field="4294967294" count="1" selected="0">
            <x v="2"/>
          </reference>
        </references>
      </pivotArea>
    </chartFormat>
    <chartFormat chart="0" format="4">
      <pivotArea type="data" outline="0" fieldPosition="0">
        <references count="1">
          <reference field="4294967294" count="1" selected="0">
            <x v="0"/>
          </reference>
        </references>
      </pivotArea>
    </chartFormat>
    <chartFormat chart="0" format="5">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88F8BF1-F59F-4905-96EE-34F664817B17}" name="TablaDinámica8"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location ref="B203:D210" firstHeaderRow="0" firstDataRow="1" firstDataCol="1" rowPageCount="1" colPageCount="1"/>
  <pivotFields count="17">
    <pivotField axis="axisPage" multipleItemSelectionAllowed="1" showAll="0">
      <items count="15">
        <item x="3"/>
        <item h="1" x="4"/>
        <item x="5"/>
        <item h="1" x="7"/>
        <item h="1" x="8"/>
        <item x="9"/>
        <item h="1" x="10"/>
        <item x="11"/>
        <item x="12"/>
        <item h="1" x="13"/>
        <item h="1" x="6"/>
        <item x="1"/>
        <item h="1" x="0"/>
        <item h="1" x="2"/>
        <item t="default"/>
      </items>
    </pivotField>
    <pivotField showAll="0"/>
    <pivotField showAll="0"/>
    <pivotField showAll="0"/>
    <pivotField showAll="0"/>
    <pivotField axis="axisRow" showAll="0">
      <items count="259">
        <item x="108"/>
        <item x="110"/>
        <item x="162"/>
        <item x="146"/>
        <item x="124"/>
        <item x="115"/>
        <item x="231"/>
        <item x="232"/>
        <item x="233"/>
        <item x="234"/>
        <item x="235"/>
        <item x="237"/>
        <item x="238"/>
        <item x="164"/>
        <item x="165"/>
        <item x="163"/>
        <item x="167"/>
        <item x="125"/>
        <item x="145"/>
        <item x="166"/>
        <item x="217"/>
        <item x="18"/>
        <item x="170"/>
        <item x="75"/>
        <item x="187"/>
        <item x="181"/>
        <item x="150"/>
        <item x="70"/>
        <item x="29"/>
        <item x="126"/>
        <item x="194"/>
        <item x="127"/>
        <item x="213"/>
        <item x="43"/>
        <item x="15"/>
        <item x="192"/>
        <item x="191"/>
        <item x="17"/>
        <item x="95"/>
        <item x="96"/>
        <item x="98"/>
        <item x="97"/>
        <item x="8"/>
        <item x="5"/>
        <item x="10"/>
        <item x="14"/>
        <item x="37"/>
        <item x="7"/>
        <item x="25"/>
        <item x="6"/>
        <item x="36"/>
        <item x="11"/>
        <item x="34"/>
        <item x="35"/>
        <item x="20"/>
        <item x="12"/>
        <item x="225"/>
        <item x="45"/>
        <item x="30"/>
        <item x="31"/>
        <item x="51"/>
        <item x="147"/>
        <item x="52"/>
        <item x="28"/>
        <item x="27"/>
        <item x="13"/>
        <item x="0"/>
        <item x="72"/>
        <item x="222"/>
        <item x="104"/>
        <item x="189"/>
        <item x="22"/>
        <item x="23"/>
        <item x="21"/>
        <item x="180"/>
        <item x="168"/>
        <item x="69"/>
        <item x="221"/>
        <item x="223"/>
        <item x="76"/>
        <item x="185"/>
        <item x="66"/>
        <item x="103"/>
        <item x="228"/>
        <item x="117"/>
        <item x="249"/>
        <item x="247"/>
        <item x="250"/>
        <item x="112"/>
        <item x="123"/>
        <item x="122"/>
        <item x="119"/>
        <item x="116"/>
        <item x="71"/>
        <item x="101"/>
        <item x="9"/>
        <item x="1"/>
        <item x="107"/>
        <item x="212"/>
        <item x="39"/>
        <item x="40"/>
        <item x="41"/>
        <item x="111"/>
        <item x="173"/>
        <item x="62"/>
        <item x="178"/>
        <item x="177"/>
        <item x="175"/>
        <item x="176"/>
        <item x="229"/>
        <item x="78"/>
        <item x="83"/>
        <item x="80"/>
        <item x="82"/>
        <item x="81"/>
        <item x="79"/>
        <item x="77"/>
        <item x="184"/>
        <item x="55"/>
        <item x="54"/>
        <item x="63"/>
        <item x="60"/>
        <item x="59"/>
        <item x="61"/>
        <item x="183"/>
        <item x="190"/>
        <item x="154"/>
        <item x="236"/>
        <item x="224"/>
        <item x="219"/>
        <item x="160"/>
        <item x="251"/>
        <item x="155"/>
        <item x="239"/>
        <item x="230"/>
        <item x="159"/>
        <item x="172"/>
        <item x="157"/>
        <item x="44"/>
        <item x="16"/>
        <item x="19"/>
        <item x="113"/>
        <item x="38"/>
        <item x="227"/>
        <item x="84"/>
        <item x="67"/>
        <item x="179"/>
        <item x="106"/>
        <item x="174"/>
        <item x="65"/>
        <item x="53"/>
        <item x="92"/>
        <item x="32"/>
        <item x="2"/>
        <item x="255"/>
        <item x="169"/>
        <item x="109"/>
        <item x="188"/>
        <item x="100"/>
        <item x="58"/>
        <item x="57"/>
        <item x="149"/>
        <item x="152"/>
        <item x="171"/>
        <item x="161"/>
        <item x="216"/>
        <item x="137"/>
        <item x="139"/>
        <item x="132"/>
        <item x="133"/>
        <item x="134"/>
        <item x="140"/>
        <item x="129"/>
        <item x="142"/>
        <item x="130"/>
        <item x="138"/>
        <item x="131"/>
        <item x="136"/>
        <item x="141"/>
        <item x="143"/>
        <item x="128"/>
        <item x="135"/>
        <item x="195"/>
        <item x="196"/>
        <item x="197"/>
        <item x="198"/>
        <item x="203"/>
        <item x="207"/>
        <item x="199"/>
        <item x="200"/>
        <item x="201"/>
        <item x="202"/>
        <item x="204"/>
        <item x="205"/>
        <item x="206"/>
        <item x="208"/>
        <item x="209"/>
        <item x="210"/>
        <item x="186"/>
        <item x="244"/>
        <item x="218"/>
        <item x="243"/>
        <item x="242"/>
        <item x="241"/>
        <item x="240"/>
        <item x="248"/>
        <item x="245"/>
        <item x="246"/>
        <item x="85"/>
        <item x="214"/>
        <item x="24"/>
        <item x="64"/>
        <item x="93"/>
        <item x="105"/>
        <item x="257"/>
        <item x="144"/>
        <item x="215"/>
        <item x="68"/>
        <item x="89"/>
        <item x="156"/>
        <item x="87"/>
        <item x="91"/>
        <item x="86"/>
        <item x="94"/>
        <item x="90"/>
        <item x="99"/>
        <item x="88"/>
        <item x="256"/>
        <item x="102"/>
        <item x="252"/>
        <item x="254"/>
        <item x="151"/>
        <item x="211"/>
        <item x="4"/>
        <item x="33"/>
        <item x="3"/>
        <item x="42"/>
        <item x="74"/>
        <item x="73"/>
        <item x="226"/>
        <item x="49"/>
        <item x="48"/>
        <item x="56"/>
        <item x="26"/>
        <item x="220"/>
        <item x="114"/>
        <item x="193"/>
        <item x="148"/>
        <item x="153"/>
        <item x="253"/>
        <item x="120"/>
        <item x="121"/>
        <item x="158"/>
        <item x="118"/>
        <item x="182"/>
        <item x="50"/>
        <item x="46"/>
        <item x="47"/>
        <item t="default"/>
      </items>
    </pivotField>
    <pivotField dataField="1" numFmtId="3" showAll="0"/>
    <pivotField dataField="1" numFmtId="3" showAll="0"/>
    <pivotField numFmtId="3" showAll="0"/>
    <pivotField showAll="0"/>
    <pivotField showAll="0"/>
    <pivotField numFmtId="172" showAll="0"/>
    <pivotField showAll="0"/>
    <pivotField numFmtId="172" showAll="0"/>
    <pivotField showAll="0"/>
    <pivotField showAll="0"/>
    <pivotField showAll="0"/>
  </pivotFields>
  <rowFields count="1">
    <field x="5"/>
  </rowFields>
  <rowItems count="7">
    <i>
      <x v="25"/>
    </i>
    <i>
      <x v="57"/>
    </i>
    <i>
      <x v="96"/>
    </i>
    <i>
      <x v="157"/>
    </i>
    <i>
      <x v="245"/>
    </i>
    <i>
      <x v="246"/>
    </i>
    <i t="grand">
      <x/>
    </i>
  </rowItems>
  <colFields count="1">
    <field x="-2"/>
  </colFields>
  <colItems count="2">
    <i>
      <x/>
    </i>
    <i i="1">
      <x v="1"/>
    </i>
  </colItems>
  <pageFields count="1">
    <pageField fld="0" hier="-1"/>
  </pageFields>
  <dataFields count="2">
    <dataField name="Presupuesto Inicial 2025." fld="6" baseField="5" baseItem="25" numFmtId="3"/>
    <dataField name="Presupuesto Vigente." fld="7" baseField="5" baseItem="25" numFmtId="3"/>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2">
          <reference field="4294967294" count="1" selected="0">
            <x v="1"/>
          </reference>
          <reference field="5" count="1" selected="0">
            <x v="245"/>
          </reference>
        </references>
      </pivotArea>
    </chartFormat>
    <chartFormat chart="0" format="3">
      <pivotArea type="data" outline="0" fieldPosition="0">
        <references count="2">
          <reference field="4294967294" count="1" selected="0">
            <x v="1"/>
          </reference>
          <reference field="5" count="1" selected="0">
            <x v="96"/>
          </reference>
        </references>
      </pivotArea>
    </chartFormat>
    <chartFormat chart="0" format="4">
      <pivotArea type="data" outline="0" fieldPosition="0">
        <references count="2">
          <reference field="4294967294" count="1" selected="0">
            <x v="1"/>
          </reference>
          <reference field="5" count="1" selected="0">
            <x v="246"/>
          </reference>
        </references>
      </pivotArea>
    </chartFormat>
    <chartFormat chart="0" format="5">
      <pivotArea type="data" outline="0" fieldPosition="0">
        <references count="2">
          <reference field="4294967294" count="1" selected="0">
            <x v="1"/>
          </reference>
          <reference field="5" count="1" selected="0">
            <x v="1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3C2D920-26B7-4E2F-93AF-09905C831297}" name="TablaDinámica1" cacheId="0" dataOnRows="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7">
  <location ref="B3:C6" firstHeaderRow="1" firstDataRow="1" firstDataCol="1" rowPageCount="1" colPageCount="1"/>
  <pivotFields count="18">
    <pivotField axis="axisPage" multipleItemSelectionAllowed="1" showAll="0">
      <items count="5">
        <item x="0"/>
        <item x="1"/>
        <item x="2"/>
        <item x="3"/>
        <item t="default"/>
      </items>
    </pivotField>
    <pivotField showAll="0"/>
    <pivotField showAll="0"/>
    <pivotField showAll="0"/>
    <pivotField showAll="0"/>
    <pivotField showAll="0"/>
    <pivotField numFmtId="3" showAll="0"/>
    <pivotField numFmtId="3" showAll="0"/>
    <pivotField dataField="1" numFmtId="3" showAll="0"/>
    <pivotField numFmtId="172" showAll="0"/>
    <pivotField showAll="0"/>
    <pivotField numFmtId="172" showAll="0"/>
    <pivotField dataField="1" numFmtId="41" showAll="0"/>
    <pivotField numFmtId="172" showAll="0"/>
    <pivotField numFmtId="3" showAll="0"/>
    <pivotField numFmtId="3" showAll="0"/>
    <pivotField numFmtId="172" showAll="0"/>
    <pivotField dataField="1" numFmtId="41" showAll="0"/>
  </pivotFields>
  <rowFields count="1">
    <field x="-2"/>
  </rowFields>
  <rowItems count="3">
    <i>
      <x/>
    </i>
    <i i="1">
      <x v="1"/>
    </i>
    <i i="2">
      <x v="2"/>
    </i>
  </rowItems>
  <colItems count="1">
    <i/>
  </colItems>
  <pageFields count="1">
    <pageField fld="0" hier="-1"/>
  </pageFields>
  <dataFields count="3">
    <dataField name="Ejecución." fld="8" baseField="0" baseItem="0" numFmtId="3"/>
    <dataField name="Saldo disponible." fld="12" baseField="0" baseItem="0" numFmtId="41"/>
    <dataField name="Saldo por ejecutar." fld="17" baseField="0" baseItem="0" numFmtId="41"/>
  </dataFields>
  <chartFormats count="6">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2"/>
          </reference>
        </references>
      </pivotArea>
    </chartFormat>
    <chartFormat chart="0" format="2" series="1">
      <pivotArea type="data" outline="0" fieldPosition="0">
        <references count="1">
          <reference field="4294967294" count="1" selected="0">
            <x v="1"/>
          </reference>
        </references>
      </pivotArea>
    </chartFormat>
    <chartFormat chart="0" format="3">
      <pivotArea type="data" outline="0" fieldPosition="0">
        <references count="1">
          <reference field="4294967294" count="1" selected="0">
            <x v="0"/>
          </reference>
        </references>
      </pivotArea>
    </chartFormat>
    <chartFormat chart="0" format="4">
      <pivotArea type="data" outline="0" fieldPosition="0">
        <references count="1">
          <reference field="4294967294" count="1" selected="0">
            <x v="1"/>
          </reference>
        </references>
      </pivotArea>
    </chartFormat>
    <chartFormat chart="0" format="5">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603C70F-8354-4182-9E51-CF29719CF3B8}" name="TablaDinámica6"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B140:D145" firstHeaderRow="0" firstDataRow="1" firstDataCol="1"/>
  <pivotFields count="18">
    <pivotField axis="axisRow" showAll="0">
      <items count="5">
        <item x="0"/>
        <item x="1"/>
        <item x="2"/>
        <item x="3"/>
        <item t="default"/>
      </items>
    </pivotField>
    <pivotField showAll="0"/>
    <pivotField showAll="0"/>
    <pivotField showAll="0"/>
    <pivotField showAll="0"/>
    <pivotField showAll="0"/>
    <pivotField numFmtId="3" showAll="0"/>
    <pivotField numFmtId="3" showAll="0"/>
    <pivotField numFmtId="3" showAll="0"/>
    <pivotField dataField="1" numFmtId="172" showAll="0"/>
    <pivotField showAll="0"/>
    <pivotField numFmtId="172" showAll="0"/>
    <pivotField numFmtId="41" showAll="0"/>
    <pivotField numFmtId="172" showAll="0"/>
    <pivotField numFmtId="3" showAll="0"/>
    <pivotField numFmtId="3" showAll="0"/>
    <pivotField dataField="1" numFmtId="172" showAll="0"/>
    <pivotField numFmtId="41" showAll="0"/>
  </pivotFields>
  <rowFields count="1">
    <field x="0"/>
  </rowFields>
  <rowItems count="5">
    <i>
      <x/>
    </i>
    <i>
      <x v="1"/>
    </i>
    <i>
      <x v="2"/>
    </i>
    <i>
      <x v="3"/>
    </i>
    <i t="grand">
      <x/>
    </i>
  </rowItems>
  <colFields count="1">
    <field x="-2"/>
  </colFields>
  <colItems count="2">
    <i>
      <x/>
    </i>
    <i i="1">
      <x v="1"/>
    </i>
  </colItems>
  <dataFields count="2">
    <dataField name="% Ejecución 2025." fld="9" baseField="0" baseItem="0" numFmtId="172"/>
    <dataField name="% Ejecución 2024." fld="16" baseField="0" baseItem="0" numFmtId="172"/>
  </dataField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10"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60"/>
  <sheetViews>
    <sheetView showGridLines="0" topLeftCell="B204" zoomScaleNormal="100" workbookViewId="0">
      <selection activeCell="O215" sqref="O215"/>
    </sheetView>
  </sheetViews>
  <sheetFormatPr baseColWidth="10" defaultColWidth="11.42578125" defaultRowHeight="15" x14ac:dyDescent="0.25"/>
  <cols>
    <col min="1" max="1" width="0" style="121" hidden="1" customWidth="1"/>
    <col min="2" max="2" width="37.85546875" style="52" bestFit="1" customWidth="1"/>
    <col min="3" max="3" width="22" style="52" bestFit="1" customWidth="1"/>
    <col min="4" max="4" width="19" style="52" bestFit="1" customWidth="1"/>
    <col min="5" max="5" width="20.42578125" style="52" bestFit="1" customWidth="1"/>
    <col min="6" max="9" width="13" style="52" customWidth="1"/>
    <col min="10" max="10" width="3.7109375" style="52" customWidth="1"/>
    <col min="11" max="11" width="8.140625" style="52" customWidth="1"/>
    <col min="12" max="12" width="11.5703125" style="52" customWidth="1"/>
    <col min="13" max="13" width="8.140625" style="52" customWidth="1"/>
    <col min="14" max="14" width="11.5703125" style="52" customWidth="1"/>
    <col min="15" max="15" width="14.140625" style="52" customWidth="1"/>
    <col min="16" max="16" width="11.42578125" style="52" customWidth="1"/>
    <col min="17" max="17" width="40.7109375" style="52" bestFit="1" customWidth="1"/>
    <col min="18" max="18" width="16" style="52" bestFit="1" customWidth="1"/>
    <col min="19" max="19" width="50.140625" style="52" bestFit="1" customWidth="1"/>
    <col min="20" max="20" width="34.28515625" style="52" bestFit="1" customWidth="1"/>
    <col min="21" max="21" width="37.140625" style="52" bestFit="1" customWidth="1"/>
    <col min="22" max="22" width="55.28515625" style="52" bestFit="1" customWidth="1"/>
    <col min="23" max="23" width="25" style="52" bestFit="1" customWidth="1"/>
    <col min="24" max="24" width="22.7109375" style="52" bestFit="1" customWidth="1"/>
    <col min="25" max="25" width="16.42578125" style="52" bestFit="1" customWidth="1"/>
    <col min="26" max="26" width="38.5703125" style="52" bestFit="1" customWidth="1"/>
    <col min="27" max="27" width="41.5703125" style="52" bestFit="1" customWidth="1"/>
    <col min="28" max="28" width="5.7109375" style="52" customWidth="1"/>
    <col min="29" max="29" width="10.85546875" style="52" customWidth="1"/>
    <col min="30" max="30" width="36.28515625" style="52" bestFit="1" customWidth="1"/>
    <col min="31" max="31" width="18.7109375" style="52" bestFit="1" customWidth="1"/>
    <col min="32" max="32" width="40.28515625" style="52" bestFit="1" customWidth="1"/>
    <col min="33" max="33" width="31.7109375" style="52" bestFit="1" customWidth="1"/>
    <col min="34" max="34" width="50.140625" style="52" bestFit="1" customWidth="1"/>
    <col min="35" max="35" width="45.28515625" style="52" bestFit="1" customWidth="1"/>
    <col min="36" max="36" width="21.5703125" style="52" bestFit="1" customWidth="1"/>
    <col min="37" max="37" width="8.85546875" style="52" customWidth="1"/>
    <col min="38" max="38" width="19.5703125" style="52" bestFit="1" customWidth="1"/>
    <col min="39" max="40" width="31" style="52" bestFit="1" customWidth="1"/>
    <col min="41" max="41" width="28.5703125" style="52" bestFit="1" customWidth="1"/>
    <col min="42" max="42" width="24.28515625" style="52" bestFit="1" customWidth="1"/>
    <col min="43" max="43" width="30.5703125" style="52" bestFit="1" customWidth="1"/>
    <col min="44" max="44" width="37" style="52" bestFit="1" customWidth="1"/>
    <col min="45" max="45" width="37.42578125" style="52" bestFit="1" customWidth="1"/>
    <col min="46" max="46" width="18.42578125" style="52" bestFit="1" customWidth="1"/>
    <col min="47" max="47" width="45.140625" style="52" bestFit="1" customWidth="1"/>
    <col min="48" max="48" width="21.42578125" style="52" bestFit="1" customWidth="1"/>
    <col min="49" max="49" width="25.7109375" style="52" bestFit="1" customWidth="1"/>
    <col min="50" max="50" width="27.7109375" style="52" bestFit="1" customWidth="1"/>
    <col min="51" max="52" width="35.5703125" style="52" bestFit="1" customWidth="1"/>
    <col min="53" max="53" width="27.5703125" style="52" bestFit="1" customWidth="1"/>
    <col min="54" max="54" width="23.85546875" style="52" bestFit="1" customWidth="1"/>
    <col min="55" max="55" width="23.7109375" style="52" bestFit="1" customWidth="1"/>
    <col min="56" max="56" width="32.85546875" style="52" bestFit="1" customWidth="1"/>
    <col min="57" max="57" width="19.140625" style="52" bestFit="1" customWidth="1"/>
    <col min="58" max="58" width="16.7109375" style="52" bestFit="1" customWidth="1"/>
    <col min="59" max="59" width="8" style="52" customWidth="1"/>
    <col min="60" max="60" width="43.5703125" style="52" bestFit="1" customWidth="1"/>
    <col min="61" max="61" width="25.5703125" style="52" bestFit="1" customWidth="1"/>
    <col min="62" max="62" width="35.28515625" style="52" bestFit="1" customWidth="1"/>
    <col min="63" max="63" width="31.7109375" style="52" bestFit="1" customWidth="1"/>
    <col min="64" max="64" width="41.85546875" style="52" bestFit="1" customWidth="1"/>
    <col min="65" max="65" width="27.28515625" style="52" bestFit="1" customWidth="1"/>
    <col min="66" max="66" width="7" style="52" customWidth="1"/>
    <col min="67" max="67" width="24" style="52" bestFit="1" customWidth="1"/>
    <col min="68" max="68" width="21.42578125" style="52" bestFit="1" customWidth="1"/>
    <col min="69" max="69" width="12.140625" style="52" bestFit="1" customWidth="1"/>
    <col min="70" max="70" width="20.5703125" style="52" bestFit="1" customWidth="1"/>
    <col min="71" max="71" width="23.42578125" style="52" bestFit="1" customWidth="1"/>
    <col min="72" max="72" width="14.85546875" style="52" bestFit="1" customWidth="1"/>
    <col min="73" max="73" width="11.42578125" style="52"/>
    <col min="74" max="74" width="18" style="52" bestFit="1" customWidth="1"/>
    <col min="75" max="75" width="29.28515625" style="52" bestFit="1" customWidth="1"/>
    <col min="76" max="76" width="35.7109375" style="52" bestFit="1" customWidth="1"/>
    <col min="77" max="77" width="17" style="52" bestFit="1" customWidth="1"/>
    <col min="78" max="78" width="24.5703125" style="52" bestFit="1" customWidth="1"/>
    <col min="79" max="79" width="23.7109375" style="52" bestFit="1" customWidth="1"/>
    <col min="80" max="80" width="37.42578125" style="52" bestFit="1" customWidth="1"/>
    <col min="81" max="81" width="36.140625" style="52" bestFit="1" customWidth="1"/>
    <col min="82" max="82" width="24.28515625" style="52" bestFit="1" customWidth="1"/>
    <col min="83" max="83" width="46.42578125" style="52" bestFit="1" customWidth="1"/>
    <col min="84" max="84" width="29.28515625" style="52" bestFit="1" customWidth="1"/>
    <col min="85" max="85" width="27.85546875" style="52" bestFit="1" customWidth="1"/>
    <col min="86" max="86" width="45.5703125" style="52" bestFit="1" customWidth="1"/>
    <col min="87" max="87" width="42.28515625" style="52" bestFit="1" customWidth="1"/>
    <col min="88" max="88" width="4.5703125" style="52" customWidth="1"/>
    <col min="89" max="89" width="16.42578125" style="52" bestFit="1" customWidth="1"/>
    <col min="90" max="90" width="24.42578125" style="52" bestFit="1" customWidth="1"/>
    <col min="91" max="91" width="21.7109375" style="52" bestFit="1" customWidth="1"/>
    <col min="92" max="92" width="15.5703125" style="52" bestFit="1" customWidth="1"/>
    <col min="93" max="93" width="44.140625" style="52" bestFit="1" customWidth="1"/>
    <col min="94" max="94" width="35.5703125" style="52" bestFit="1" customWidth="1"/>
    <col min="95" max="95" width="32.7109375" style="52" bestFit="1" customWidth="1"/>
    <col min="96" max="96" width="19.140625" style="52" bestFit="1" customWidth="1"/>
    <col min="97" max="97" width="46.7109375" style="52" bestFit="1" customWidth="1"/>
    <col min="98" max="98" width="23.140625" style="52" bestFit="1" customWidth="1"/>
    <col min="99" max="99" width="46.7109375" style="52" bestFit="1" customWidth="1"/>
    <col min="100" max="100" width="42.85546875" style="52" bestFit="1" customWidth="1"/>
    <col min="101" max="101" width="49.42578125" style="52" bestFit="1" customWidth="1"/>
    <col min="102" max="102" width="58.42578125" style="52" bestFit="1" customWidth="1"/>
    <col min="103" max="103" width="48.42578125" style="52" bestFit="1" customWidth="1"/>
    <col min="104" max="104" width="39.28515625" style="52" bestFit="1" customWidth="1"/>
    <col min="105" max="105" width="29.85546875" style="52" bestFit="1" customWidth="1"/>
    <col min="106" max="106" width="20.85546875" style="52" bestFit="1" customWidth="1"/>
    <col min="107" max="107" width="27.85546875" style="52" bestFit="1" customWidth="1"/>
    <col min="108" max="108" width="57" style="52" bestFit="1" customWidth="1"/>
    <col min="109" max="109" width="26" style="52" bestFit="1" customWidth="1"/>
    <col min="110" max="110" width="29.140625" style="52" bestFit="1" customWidth="1"/>
    <col min="111" max="111" width="34.140625" style="52" bestFit="1" customWidth="1"/>
    <col min="112" max="112" width="50" style="52" bestFit="1" customWidth="1"/>
    <col min="113" max="113" width="49.7109375" style="52" bestFit="1" customWidth="1"/>
    <col min="114" max="114" width="43.28515625" style="52" bestFit="1" customWidth="1"/>
    <col min="115" max="115" width="82" style="52" bestFit="1" customWidth="1"/>
    <col min="116" max="116" width="12.42578125" style="52" bestFit="1" customWidth="1"/>
    <col min="117" max="117" width="27.7109375" style="52" bestFit="1" customWidth="1"/>
    <col min="118" max="118" width="57.7109375" style="52" bestFit="1" customWidth="1"/>
    <col min="119" max="119" width="30.140625" style="52" bestFit="1" customWidth="1"/>
    <col min="120" max="120" width="22" style="52" bestFit="1" customWidth="1"/>
    <col min="121" max="121" width="25.85546875" style="52" bestFit="1" customWidth="1"/>
    <col min="122" max="122" width="6" style="52" customWidth="1"/>
    <col min="123" max="123" width="6.5703125" style="52" customWidth="1"/>
    <col min="124" max="124" width="43.85546875" style="52" bestFit="1" customWidth="1"/>
    <col min="125" max="125" width="37.42578125" style="52" bestFit="1" customWidth="1"/>
    <col min="126" max="126" width="21.28515625" style="52" bestFit="1" customWidth="1"/>
    <col min="127" max="127" width="62.42578125" style="52" bestFit="1" customWidth="1"/>
    <col min="128" max="128" width="14.5703125" style="52" bestFit="1" customWidth="1"/>
    <col min="129" max="129" width="25.5703125" style="52" bestFit="1" customWidth="1"/>
    <col min="130" max="130" width="18.5703125" style="52" bestFit="1" customWidth="1"/>
    <col min="131" max="131" width="17.7109375" style="52" bestFit="1" customWidth="1"/>
    <col min="132" max="132" width="26.7109375" style="52" bestFit="1" customWidth="1"/>
    <col min="133" max="133" width="36.5703125" style="52" bestFit="1" customWidth="1"/>
    <col min="134" max="134" width="12.85546875" style="52" bestFit="1" customWidth="1"/>
    <col min="135" max="135" width="26.5703125" style="52" bestFit="1" customWidth="1"/>
    <col min="136" max="136" width="18.7109375" style="52" bestFit="1" customWidth="1"/>
    <col min="137" max="137" width="50.140625" style="52" bestFit="1" customWidth="1"/>
    <col min="138" max="138" width="67.85546875" style="52" bestFit="1" customWidth="1"/>
    <col min="139" max="139" width="35.7109375" style="52" bestFit="1" customWidth="1"/>
    <col min="140" max="140" width="44.42578125" style="52" bestFit="1" customWidth="1"/>
    <col min="141" max="141" width="52.28515625" style="52" bestFit="1" customWidth="1"/>
    <col min="142" max="142" width="54.140625" style="52" bestFit="1" customWidth="1"/>
    <col min="143" max="143" width="53.140625" style="52" bestFit="1" customWidth="1"/>
    <col min="144" max="144" width="65.140625" style="52" bestFit="1" customWidth="1"/>
    <col min="145" max="145" width="49.85546875" style="52" bestFit="1" customWidth="1"/>
    <col min="146" max="146" width="53.7109375" style="52" bestFit="1" customWidth="1"/>
    <col min="147" max="147" width="59.28515625" style="52" bestFit="1" customWidth="1"/>
    <col min="148" max="148" width="52.7109375" style="52" bestFit="1" customWidth="1"/>
    <col min="149" max="149" width="84.42578125" style="52" bestFit="1" customWidth="1"/>
    <col min="150" max="150" width="53.5703125" style="52" bestFit="1" customWidth="1"/>
    <col min="151" max="151" width="56.28515625" style="52" bestFit="1" customWidth="1"/>
    <col min="152" max="152" width="52" style="52" bestFit="1" customWidth="1"/>
    <col min="153" max="153" width="49.85546875" style="52" bestFit="1" customWidth="1"/>
    <col min="154" max="154" width="52.85546875" style="52" bestFit="1" customWidth="1"/>
    <col min="155" max="155" width="51.5703125" style="52" bestFit="1" customWidth="1"/>
    <col min="156" max="156" width="44.28515625" style="52" bestFit="1" customWidth="1"/>
    <col min="157" max="157" width="47.7109375" style="52" bestFit="1" customWidth="1"/>
    <col min="158" max="158" width="44.5703125" style="52" bestFit="1" customWidth="1"/>
    <col min="159" max="159" width="45.85546875" style="52" bestFit="1" customWidth="1"/>
    <col min="160" max="160" width="48.42578125" style="52" bestFit="1" customWidth="1"/>
    <col min="161" max="161" width="47.28515625" style="52" bestFit="1" customWidth="1"/>
    <col min="162" max="162" width="45.85546875" style="52" bestFit="1" customWidth="1"/>
    <col min="163" max="163" width="49.85546875" style="52" bestFit="1" customWidth="1"/>
    <col min="164" max="164" width="43.5703125" style="52" bestFit="1" customWidth="1"/>
    <col min="165" max="165" width="44.85546875" style="52" bestFit="1" customWidth="1"/>
    <col min="166" max="166" width="45.5703125" style="52" bestFit="1" customWidth="1"/>
    <col min="167" max="167" width="42.85546875" style="52" bestFit="1" customWidth="1"/>
    <col min="168" max="168" width="48.42578125" style="52" bestFit="1" customWidth="1"/>
    <col min="169" max="169" width="45.5703125" style="52" bestFit="1" customWidth="1"/>
    <col min="170" max="170" width="54.42578125" style="52" bestFit="1" customWidth="1"/>
    <col min="171" max="171" width="43.85546875" style="52" bestFit="1" customWidth="1"/>
    <col min="172" max="172" width="22.42578125" style="52" bestFit="1" customWidth="1"/>
    <col min="173" max="173" width="21" style="52" bestFit="1" customWidth="1"/>
    <col min="174" max="174" width="45.85546875" style="52" bestFit="1" customWidth="1"/>
    <col min="175" max="175" width="47.7109375" style="52" bestFit="1" customWidth="1"/>
    <col min="176" max="176" width="34.28515625" style="52" bestFit="1" customWidth="1"/>
    <col min="177" max="177" width="39.85546875" style="52" bestFit="1" customWidth="1"/>
    <col min="178" max="178" width="38" style="52" bestFit="1" customWidth="1"/>
    <col min="179" max="179" width="27.140625" style="52" bestFit="1" customWidth="1"/>
    <col min="180" max="180" width="29.42578125" style="52" bestFit="1" customWidth="1"/>
    <col min="181" max="181" width="19.85546875" style="52" bestFit="1" customWidth="1"/>
    <col min="182" max="182" width="25" style="52" bestFit="1" customWidth="1"/>
    <col min="183" max="183" width="67.7109375" style="52" bestFit="1" customWidth="1"/>
    <col min="184" max="184" width="32.7109375" style="52" bestFit="1" customWidth="1"/>
    <col min="185" max="185" width="21" style="52" bestFit="1" customWidth="1"/>
    <col min="186" max="186" width="20.7109375" style="52" bestFit="1" customWidth="1"/>
    <col min="187" max="187" width="22.42578125" style="52" bestFit="1" customWidth="1"/>
    <col min="188" max="188" width="37.85546875" style="52" bestFit="1" customWidth="1"/>
    <col min="189" max="189" width="16.28515625" style="52" bestFit="1" customWidth="1"/>
    <col min="190" max="190" width="16.5703125" style="52" bestFit="1" customWidth="1"/>
    <col min="191" max="191" width="21.28515625" style="52" bestFit="1" customWidth="1"/>
    <col min="192" max="192" width="21.5703125" style="52" bestFit="1" customWidth="1"/>
    <col min="193" max="193" width="33" style="52" bestFit="1" customWidth="1"/>
    <col min="194" max="194" width="21" style="52" bestFit="1" customWidth="1"/>
    <col min="195" max="195" width="32.42578125" style="52" bestFit="1" customWidth="1"/>
    <col min="196" max="196" width="18.7109375" style="52" bestFit="1" customWidth="1"/>
    <col min="197" max="197" width="15" style="52" bestFit="1" customWidth="1"/>
    <col min="198" max="198" width="31.5703125" style="52" bestFit="1" customWidth="1"/>
    <col min="199" max="199" width="38.85546875" style="52" bestFit="1" customWidth="1"/>
    <col min="200" max="200" width="35.140625" style="52" bestFit="1" customWidth="1"/>
    <col min="201" max="201" width="50" style="52" bestFit="1" customWidth="1"/>
    <col min="202" max="202" width="12.85546875" style="52" bestFit="1" customWidth="1"/>
    <col min="203" max="203" width="12.42578125" style="52" bestFit="1" customWidth="1"/>
    <col min="204" max="204" width="22.140625" style="52" bestFit="1" customWidth="1"/>
    <col min="205" max="205" width="23.7109375" style="52" bestFit="1" customWidth="1"/>
    <col min="206" max="206" width="16.28515625" style="52" bestFit="1" customWidth="1"/>
    <col min="207" max="207" width="13.140625" style="52" bestFit="1" customWidth="1"/>
    <col min="208" max="208" width="15" style="52" bestFit="1" customWidth="1"/>
    <col min="209" max="209" width="26.5703125" style="52" bestFit="1" customWidth="1"/>
    <col min="210" max="210" width="27" style="52" bestFit="1" customWidth="1"/>
    <col min="211" max="211" width="23" style="52" bestFit="1" customWidth="1"/>
    <col min="212" max="212" width="17.140625" style="52" bestFit="1" customWidth="1"/>
    <col min="213" max="213" width="30" style="52" bestFit="1" customWidth="1"/>
    <col min="214" max="214" width="28.85546875" style="52" bestFit="1" customWidth="1"/>
    <col min="215" max="215" width="34.7109375" style="52" bestFit="1" customWidth="1"/>
    <col min="216" max="216" width="44.28515625" style="52" bestFit="1" customWidth="1"/>
    <col min="217" max="217" width="41.85546875" style="52" bestFit="1" customWidth="1"/>
    <col min="218" max="218" width="25" style="52" bestFit="1" customWidth="1"/>
    <col min="219" max="219" width="38" style="52" bestFit="1" customWidth="1"/>
    <col min="220" max="220" width="12.85546875" style="52" bestFit="1" customWidth="1"/>
    <col min="221" max="16384" width="11.42578125" style="52"/>
  </cols>
  <sheetData>
    <row r="1" spans="1:4" x14ac:dyDescent="0.25">
      <c r="A1" s="121">
        <v>12</v>
      </c>
      <c r="B1" s="84" t="s">
        <v>431</v>
      </c>
      <c r="C1" t="s">
        <v>1049</v>
      </c>
      <c r="D1"/>
    </row>
    <row r="2" spans="1:4" x14ac:dyDescent="0.25">
      <c r="A2" s="121">
        <v>13</v>
      </c>
      <c r="B2"/>
      <c r="C2"/>
      <c r="D2"/>
    </row>
    <row r="3" spans="1:4" x14ac:dyDescent="0.25">
      <c r="A3" s="121">
        <v>14</v>
      </c>
      <c r="B3" s="84" t="s">
        <v>712</v>
      </c>
      <c r="C3"/>
      <c r="D3"/>
    </row>
    <row r="4" spans="1:4" x14ac:dyDescent="0.25">
      <c r="A4" s="121">
        <v>15</v>
      </c>
      <c r="B4" s="24" t="s">
        <v>754</v>
      </c>
      <c r="C4" s="207">
        <v>67417152.464999989</v>
      </c>
      <c r="D4"/>
    </row>
    <row r="5" spans="1:4" x14ac:dyDescent="0.25">
      <c r="A5" s="121">
        <v>16</v>
      </c>
      <c r="B5" s="24" t="s">
        <v>756</v>
      </c>
      <c r="C5" s="85">
        <v>303309994.04100001</v>
      </c>
      <c r="D5"/>
    </row>
    <row r="6" spans="1:4" x14ac:dyDescent="0.25">
      <c r="A6" s="121">
        <v>17</v>
      </c>
      <c r="B6" s="24" t="s">
        <v>755</v>
      </c>
      <c r="C6" s="85">
        <v>3954856.6900000013</v>
      </c>
      <c r="D6"/>
    </row>
    <row r="7" spans="1:4" x14ac:dyDescent="0.25">
      <c r="A7" s="121">
        <v>18</v>
      </c>
      <c r="B7"/>
      <c r="C7"/>
      <c r="D7"/>
    </row>
    <row r="8" spans="1:4" x14ac:dyDescent="0.25">
      <c r="A8" s="121">
        <v>19</v>
      </c>
      <c r="B8"/>
      <c r="C8"/>
      <c r="D8"/>
    </row>
    <row r="9" spans="1:4" x14ac:dyDescent="0.25">
      <c r="A9" s="121">
        <v>20</v>
      </c>
      <c r="B9"/>
      <c r="C9"/>
      <c r="D9"/>
    </row>
    <row r="10" spans="1:4" x14ac:dyDescent="0.25">
      <c r="A10" s="121">
        <v>21</v>
      </c>
      <c r="B10"/>
      <c r="C10"/>
      <c r="D10"/>
    </row>
    <row r="11" spans="1:4" x14ac:dyDescent="0.25">
      <c r="A11" s="121">
        <v>22</v>
      </c>
      <c r="B11"/>
      <c r="C11"/>
      <c r="D11"/>
    </row>
    <row r="12" spans="1:4" x14ac:dyDescent="0.25">
      <c r="A12" s="121">
        <v>23</v>
      </c>
      <c r="B12"/>
      <c r="C12"/>
      <c r="D12"/>
    </row>
    <row r="13" spans="1:4" x14ac:dyDescent="0.25">
      <c r="A13" s="121">
        <v>24</v>
      </c>
      <c r="B13"/>
      <c r="C13"/>
      <c r="D13"/>
    </row>
    <row r="14" spans="1:4" x14ac:dyDescent="0.25">
      <c r="A14" s="121">
        <v>25</v>
      </c>
      <c r="B14"/>
      <c r="C14"/>
      <c r="D14"/>
    </row>
    <row r="15" spans="1:4" x14ac:dyDescent="0.25">
      <c r="A15" s="121">
        <v>26</v>
      </c>
      <c r="B15"/>
      <c r="C15"/>
      <c r="D15"/>
    </row>
    <row r="16" spans="1:4" x14ac:dyDescent="0.25">
      <c r="A16" s="121">
        <v>27</v>
      </c>
      <c r="B16"/>
      <c r="C16"/>
      <c r="D16"/>
    </row>
    <row r="17" spans="1:5" x14ac:dyDescent="0.25">
      <c r="A17" s="121">
        <v>28</v>
      </c>
      <c r="B17"/>
      <c r="C17"/>
      <c r="D17"/>
    </row>
    <row r="18" spans="1:5" x14ac:dyDescent="0.25">
      <c r="A18" s="121">
        <v>1</v>
      </c>
      <c r="B18"/>
      <c r="C18"/>
      <c r="D18"/>
    </row>
    <row r="19" spans="1:5" x14ac:dyDescent="0.25">
      <c r="A19" s="121">
        <v>2</v>
      </c>
    </row>
    <row r="20" spans="1:5" x14ac:dyDescent="0.25">
      <c r="A20" s="121">
        <v>3</v>
      </c>
    </row>
    <row r="21" spans="1:5" x14ac:dyDescent="0.25">
      <c r="A21" s="121">
        <v>22</v>
      </c>
    </row>
    <row r="22" spans="1:5" x14ac:dyDescent="0.25">
      <c r="A22" s="121">
        <v>23</v>
      </c>
    </row>
    <row r="23" spans="1:5" ht="22.5" customHeight="1" x14ac:dyDescent="0.25">
      <c r="A23" s="121">
        <v>24</v>
      </c>
    </row>
    <row r="25" spans="1:5" x14ac:dyDescent="0.25">
      <c r="B25"/>
      <c r="C25"/>
      <c r="D25"/>
    </row>
    <row r="26" spans="1:5" x14ac:dyDescent="0.25">
      <c r="B26"/>
      <c r="C26"/>
      <c r="D26"/>
    </row>
    <row r="27" spans="1:5" x14ac:dyDescent="0.25">
      <c r="B27"/>
      <c r="C27"/>
      <c r="D27"/>
    </row>
    <row r="28" spans="1:5" x14ac:dyDescent="0.25">
      <c r="B28" s="84" t="s">
        <v>431</v>
      </c>
      <c r="C28" t="s">
        <v>642</v>
      </c>
      <c r="D28"/>
    </row>
    <row r="29" spans="1:5" x14ac:dyDescent="0.25">
      <c r="B29"/>
      <c r="C29"/>
      <c r="D29"/>
    </row>
    <row r="30" spans="1:5" x14ac:dyDescent="0.25">
      <c r="B30" s="84" t="s">
        <v>712</v>
      </c>
      <c r="C30"/>
      <c r="D30"/>
      <c r="E30"/>
    </row>
    <row r="31" spans="1:5" x14ac:dyDescent="0.25">
      <c r="B31" s="24" t="s">
        <v>754</v>
      </c>
      <c r="C31" s="207">
        <v>8268432.3619999997</v>
      </c>
      <c r="D31"/>
      <c r="E31"/>
    </row>
    <row r="32" spans="1:5" x14ac:dyDescent="0.25">
      <c r="B32" s="24" t="s">
        <v>756</v>
      </c>
      <c r="C32" s="85">
        <v>29083794.604000002</v>
      </c>
      <c r="D32"/>
      <c r="E32"/>
    </row>
    <row r="33" spans="2:5" x14ac:dyDescent="0.25">
      <c r="B33" s="24" t="s">
        <v>755</v>
      </c>
      <c r="C33" s="85">
        <v>2207808.1339999996</v>
      </c>
      <c r="D33"/>
      <c r="E33"/>
    </row>
    <row r="34" spans="2:5" x14ac:dyDescent="0.25">
      <c r="B34"/>
      <c r="C34"/>
      <c r="D34"/>
      <c r="E34"/>
    </row>
    <row r="35" spans="2:5" x14ac:dyDescent="0.25">
      <c r="B35"/>
      <c r="C35"/>
      <c r="D35"/>
      <c r="E35"/>
    </row>
    <row r="36" spans="2:5" x14ac:dyDescent="0.25">
      <c r="B36"/>
      <c r="C36"/>
      <c r="D36"/>
    </row>
    <row r="37" spans="2:5" x14ac:dyDescent="0.25">
      <c r="B37"/>
      <c r="C37"/>
      <c r="D37"/>
    </row>
    <row r="38" spans="2:5" x14ac:dyDescent="0.25">
      <c r="B38"/>
      <c r="C38"/>
      <c r="D38"/>
    </row>
    <row r="39" spans="2:5" x14ac:dyDescent="0.25">
      <c r="B39"/>
      <c r="C39"/>
      <c r="D39"/>
    </row>
    <row r="40" spans="2:5" x14ac:dyDescent="0.25">
      <c r="B40"/>
      <c r="C40"/>
      <c r="D40"/>
    </row>
    <row r="41" spans="2:5" x14ac:dyDescent="0.25">
      <c r="B41"/>
      <c r="C41"/>
      <c r="D41"/>
    </row>
    <row r="42" spans="2:5" x14ac:dyDescent="0.25">
      <c r="B42"/>
      <c r="C42"/>
      <c r="D42"/>
    </row>
    <row r="43" spans="2:5" x14ac:dyDescent="0.25">
      <c r="B43"/>
      <c r="C43"/>
      <c r="D43"/>
    </row>
    <row r="44" spans="2:5" x14ac:dyDescent="0.25">
      <c r="B44"/>
      <c r="C44"/>
      <c r="D44"/>
    </row>
    <row r="45" spans="2:5" x14ac:dyDescent="0.25">
      <c r="B45"/>
      <c r="C45"/>
      <c r="D45"/>
    </row>
    <row r="46" spans="2:5" x14ac:dyDescent="0.25">
      <c r="B46"/>
      <c r="C46"/>
      <c r="D46"/>
    </row>
    <row r="47" spans="2:5" x14ac:dyDescent="0.25">
      <c r="B47"/>
      <c r="C47"/>
      <c r="D47"/>
    </row>
    <row r="48" spans="2:5" x14ac:dyDescent="0.25">
      <c r="B48"/>
      <c r="C48"/>
      <c r="D48"/>
    </row>
    <row r="49" spans="2:5" x14ac:dyDescent="0.25">
      <c r="B49"/>
      <c r="C49"/>
      <c r="D49"/>
    </row>
    <row r="50" spans="2:5" x14ac:dyDescent="0.25">
      <c r="B50"/>
      <c r="C50"/>
      <c r="D50"/>
    </row>
    <row r="51" spans="2:5" x14ac:dyDescent="0.25">
      <c r="B51"/>
      <c r="C51"/>
      <c r="D51"/>
    </row>
    <row r="52" spans="2:5" x14ac:dyDescent="0.25">
      <c r="B52"/>
      <c r="C52"/>
      <c r="D52"/>
    </row>
    <row r="53" spans="2:5" x14ac:dyDescent="0.25">
      <c r="B53"/>
      <c r="C53"/>
      <c r="D53"/>
    </row>
    <row r="54" spans="2:5" x14ac:dyDescent="0.25">
      <c r="B54"/>
      <c r="C54"/>
      <c r="D54"/>
    </row>
    <row r="55" spans="2:5" x14ac:dyDescent="0.25">
      <c r="B55" s="84" t="s">
        <v>431</v>
      </c>
      <c r="C55" t="s">
        <v>249</v>
      </c>
    </row>
    <row r="57" spans="2:5" x14ac:dyDescent="0.25">
      <c r="B57" s="84" t="s">
        <v>712</v>
      </c>
      <c r="C57"/>
      <c r="D57"/>
    </row>
    <row r="58" spans="2:5" x14ac:dyDescent="0.25">
      <c r="B58" s="24" t="s">
        <v>754</v>
      </c>
      <c r="C58" s="207">
        <v>1541895.4289999998</v>
      </c>
      <c r="D58"/>
    </row>
    <row r="59" spans="2:5" x14ac:dyDescent="0.25">
      <c r="B59" s="24" t="s">
        <v>756</v>
      </c>
      <c r="C59" s="85">
        <v>4161868.24</v>
      </c>
      <c r="D59"/>
    </row>
    <row r="60" spans="2:5" x14ac:dyDescent="0.25">
      <c r="B60" s="24" t="s">
        <v>755</v>
      </c>
      <c r="C60" s="85">
        <v>670550.33100000001</v>
      </c>
      <c r="D60"/>
    </row>
    <row r="61" spans="2:5" x14ac:dyDescent="0.25">
      <c r="B61"/>
      <c r="C61"/>
      <c r="D61"/>
    </row>
    <row r="62" spans="2:5" x14ac:dyDescent="0.25">
      <c r="B62"/>
      <c r="C62"/>
      <c r="D62"/>
      <c r="E62"/>
    </row>
    <row r="63" spans="2:5" x14ac:dyDescent="0.25">
      <c r="B63"/>
      <c r="C63"/>
      <c r="D63"/>
      <c r="E63"/>
    </row>
    <row r="64" spans="2:5" x14ac:dyDescent="0.25">
      <c r="B64"/>
      <c r="C64"/>
      <c r="D64"/>
      <c r="E64"/>
    </row>
    <row r="65" spans="2:5" x14ac:dyDescent="0.25">
      <c r="B65"/>
      <c r="C65"/>
      <c r="D65"/>
      <c r="E65"/>
    </row>
    <row r="66" spans="2:5" x14ac:dyDescent="0.25">
      <c r="B66"/>
      <c r="C66"/>
      <c r="D66"/>
      <c r="E66"/>
    </row>
    <row r="67" spans="2:5" x14ac:dyDescent="0.25">
      <c r="B67"/>
      <c r="C67"/>
      <c r="D67"/>
      <c r="E67"/>
    </row>
    <row r="68" spans="2:5" x14ac:dyDescent="0.25">
      <c r="B68"/>
      <c r="C68"/>
      <c r="D68"/>
    </row>
    <row r="69" spans="2:5" x14ac:dyDescent="0.25">
      <c r="B69"/>
      <c r="C69"/>
      <c r="D69"/>
    </row>
    <row r="70" spans="2:5" x14ac:dyDescent="0.25">
      <c r="B70"/>
      <c r="C70"/>
      <c r="D70"/>
    </row>
    <row r="71" spans="2:5" x14ac:dyDescent="0.25">
      <c r="B71"/>
      <c r="C71"/>
      <c r="D71"/>
    </row>
    <row r="72" spans="2:5" x14ac:dyDescent="0.25">
      <c r="B72"/>
      <c r="C72"/>
      <c r="D72"/>
    </row>
    <row r="73" spans="2:5" x14ac:dyDescent="0.25">
      <c r="B73"/>
      <c r="C73"/>
      <c r="D73"/>
    </row>
    <row r="74" spans="2:5" x14ac:dyDescent="0.25">
      <c r="B74"/>
      <c r="C74"/>
      <c r="D74"/>
    </row>
    <row r="75" spans="2:5" x14ac:dyDescent="0.25">
      <c r="B75"/>
      <c r="C75"/>
      <c r="D75"/>
    </row>
    <row r="76" spans="2:5" x14ac:dyDescent="0.25">
      <c r="B76"/>
      <c r="C76"/>
      <c r="D76"/>
    </row>
    <row r="77" spans="2:5" x14ac:dyDescent="0.25">
      <c r="B77"/>
      <c r="C77"/>
      <c r="D77"/>
    </row>
    <row r="78" spans="2:5" x14ac:dyDescent="0.25">
      <c r="B78"/>
      <c r="C78"/>
      <c r="D78"/>
    </row>
    <row r="83" spans="2:5" x14ac:dyDescent="0.25">
      <c r="B83" s="84" t="s">
        <v>431</v>
      </c>
      <c r="C83" t="s">
        <v>250</v>
      </c>
    </row>
    <row r="84" spans="2:5" x14ac:dyDescent="0.25">
      <c r="B84"/>
      <c r="C84"/>
      <c r="D84"/>
    </row>
    <row r="85" spans="2:5" x14ac:dyDescent="0.25">
      <c r="B85" s="84" t="s">
        <v>712</v>
      </c>
      <c r="C85"/>
      <c r="D85"/>
    </row>
    <row r="86" spans="2:5" x14ac:dyDescent="0.25">
      <c r="B86" s="24" t="s">
        <v>754</v>
      </c>
      <c r="C86" s="207">
        <v>57606824.673999995</v>
      </c>
      <c r="D86"/>
      <c r="E86"/>
    </row>
    <row r="87" spans="2:5" x14ac:dyDescent="0.25">
      <c r="B87" s="24" t="s">
        <v>756</v>
      </c>
      <c r="C87" s="85">
        <v>213971686.19700003</v>
      </c>
      <c r="D87"/>
      <c r="E87"/>
    </row>
    <row r="88" spans="2:5" x14ac:dyDescent="0.25">
      <c r="B88" s="24" t="s">
        <v>755</v>
      </c>
      <c r="C88" s="85">
        <v>1076498.2250000015</v>
      </c>
      <c r="D88"/>
      <c r="E88"/>
    </row>
    <row r="89" spans="2:5" x14ac:dyDescent="0.25">
      <c r="B89"/>
      <c r="C89"/>
      <c r="D89"/>
      <c r="E89"/>
    </row>
    <row r="90" spans="2:5" x14ac:dyDescent="0.25">
      <c r="B90"/>
      <c r="C90"/>
      <c r="D90"/>
      <c r="E90"/>
    </row>
    <row r="91" spans="2:5" x14ac:dyDescent="0.25">
      <c r="B91"/>
      <c r="C91"/>
      <c r="D91"/>
      <c r="E91"/>
    </row>
    <row r="92" spans="2:5" x14ac:dyDescent="0.25">
      <c r="B92"/>
      <c r="C92"/>
      <c r="D92"/>
    </row>
    <row r="93" spans="2:5" x14ac:dyDescent="0.25">
      <c r="B93"/>
      <c r="C93"/>
      <c r="D93"/>
    </row>
    <row r="94" spans="2:5" x14ac:dyDescent="0.25">
      <c r="B94"/>
      <c r="C94"/>
      <c r="D94"/>
    </row>
    <row r="95" spans="2:5" x14ac:dyDescent="0.25">
      <c r="B95"/>
      <c r="C95"/>
      <c r="D95"/>
    </row>
    <row r="96" spans="2:5" x14ac:dyDescent="0.25">
      <c r="B96"/>
      <c r="C96"/>
      <c r="D96"/>
    </row>
    <row r="97" spans="2:4" x14ac:dyDescent="0.25">
      <c r="B97"/>
      <c r="C97"/>
      <c r="D97"/>
    </row>
    <row r="98" spans="2:4" x14ac:dyDescent="0.25">
      <c r="B98"/>
      <c r="C98"/>
      <c r="D98"/>
    </row>
    <row r="99" spans="2:4" x14ac:dyDescent="0.25">
      <c r="B99"/>
      <c r="C99"/>
      <c r="D99"/>
    </row>
    <row r="100" spans="2:4" x14ac:dyDescent="0.25">
      <c r="B100"/>
      <c r="C100"/>
      <c r="D100"/>
    </row>
    <row r="101" spans="2:4" x14ac:dyDescent="0.25">
      <c r="B101"/>
      <c r="C101"/>
      <c r="D101"/>
    </row>
    <row r="102" spans="2:4" x14ac:dyDescent="0.25">
      <c r="B102"/>
      <c r="C102"/>
      <c r="D102"/>
    </row>
    <row r="111" spans="2:4" x14ac:dyDescent="0.25">
      <c r="B111" s="84" t="s">
        <v>431</v>
      </c>
      <c r="C111" t="s">
        <v>633</v>
      </c>
    </row>
    <row r="113" spans="2:4" x14ac:dyDescent="0.25">
      <c r="B113" s="84" t="s">
        <v>712</v>
      </c>
      <c r="C113"/>
      <c r="D113"/>
    </row>
    <row r="114" spans="2:4" x14ac:dyDescent="0.25">
      <c r="B114" s="24" t="s">
        <v>754</v>
      </c>
      <c r="C114" s="207">
        <v>0</v>
      </c>
      <c r="D114"/>
    </row>
    <row r="115" spans="2:4" x14ac:dyDescent="0.25">
      <c r="B115" s="24" t="s">
        <v>756</v>
      </c>
      <c r="C115" s="85">
        <v>56092645</v>
      </c>
      <c r="D115"/>
    </row>
    <row r="116" spans="2:4" x14ac:dyDescent="0.25">
      <c r="B116" s="24" t="s">
        <v>755</v>
      </c>
      <c r="C116" s="85">
        <v>0</v>
      </c>
      <c r="D116"/>
    </row>
    <row r="117" spans="2:4" x14ac:dyDescent="0.25">
      <c r="B117"/>
      <c r="C117"/>
      <c r="D117"/>
    </row>
    <row r="118" spans="2:4" x14ac:dyDescent="0.25">
      <c r="B118"/>
      <c r="C118"/>
      <c r="D118"/>
    </row>
    <row r="119" spans="2:4" x14ac:dyDescent="0.25">
      <c r="B119"/>
      <c r="C119"/>
      <c r="D119"/>
    </row>
    <row r="120" spans="2:4" x14ac:dyDescent="0.25">
      <c r="B120"/>
      <c r="C120"/>
      <c r="D120"/>
    </row>
    <row r="121" spans="2:4" x14ac:dyDescent="0.25">
      <c r="B121"/>
      <c r="C121"/>
      <c r="D121"/>
    </row>
    <row r="122" spans="2:4" x14ac:dyDescent="0.25">
      <c r="B122"/>
      <c r="C122"/>
      <c r="D122"/>
    </row>
    <row r="123" spans="2:4" x14ac:dyDescent="0.25">
      <c r="B123"/>
      <c r="C123"/>
      <c r="D123"/>
    </row>
    <row r="124" spans="2:4" x14ac:dyDescent="0.25">
      <c r="B124"/>
      <c r="C124"/>
      <c r="D124"/>
    </row>
    <row r="125" spans="2:4" x14ac:dyDescent="0.25">
      <c r="B125"/>
      <c r="C125"/>
      <c r="D125"/>
    </row>
    <row r="126" spans="2:4" x14ac:dyDescent="0.25">
      <c r="B126"/>
      <c r="C126"/>
      <c r="D126"/>
    </row>
    <row r="127" spans="2:4" x14ac:dyDescent="0.25">
      <c r="B127"/>
      <c r="C127"/>
      <c r="D127"/>
    </row>
    <row r="128" spans="2:4" x14ac:dyDescent="0.25">
      <c r="B128"/>
      <c r="C128"/>
      <c r="D128"/>
    </row>
    <row r="129" spans="2:4" x14ac:dyDescent="0.25">
      <c r="B129"/>
      <c r="C129"/>
      <c r="D129"/>
    </row>
    <row r="130" spans="2:4" x14ac:dyDescent="0.25">
      <c r="B130"/>
      <c r="C130"/>
      <c r="D130"/>
    </row>
    <row r="140" spans="2:4" x14ac:dyDescent="0.25">
      <c r="B140" s="84" t="s">
        <v>1050</v>
      </c>
      <c r="C140" t="s">
        <v>1052</v>
      </c>
      <c r="D140" t="s">
        <v>1053</v>
      </c>
    </row>
    <row r="141" spans="2:4" x14ac:dyDescent="0.25">
      <c r="B141" s="24" t="s">
        <v>642</v>
      </c>
      <c r="C141" s="867">
        <v>0.20900973270370024</v>
      </c>
      <c r="D141" s="867">
        <v>0.13139247777667967</v>
      </c>
    </row>
    <row r="142" spans="2:4" x14ac:dyDescent="0.25">
      <c r="B142" s="24" t="s">
        <v>249</v>
      </c>
      <c r="C142" s="867">
        <v>0.24189197912120422</v>
      </c>
      <c r="D142" s="867">
        <v>0.14455380556181366</v>
      </c>
    </row>
    <row r="143" spans="2:4" x14ac:dyDescent="0.25">
      <c r="B143" s="24" t="s">
        <v>250</v>
      </c>
      <c r="C143" s="867">
        <v>0.21128100622467205</v>
      </c>
      <c r="D143" s="867">
        <v>0.17328379890782317</v>
      </c>
    </row>
    <row r="144" spans="2:4" x14ac:dyDescent="0.25">
      <c r="B144" s="24" t="s">
        <v>633</v>
      </c>
      <c r="C144" s="867">
        <v>0</v>
      </c>
      <c r="D144" s="867">
        <v>0.10173399693932977</v>
      </c>
    </row>
    <row r="145" spans="2:4" x14ac:dyDescent="0.25">
      <c r="B145" s="24" t="s">
        <v>1051</v>
      </c>
      <c r="C145" s="867">
        <v>0.66218271804957651</v>
      </c>
      <c r="D145" s="867">
        <v>0.55096407918564627</v>
      </c>
    </row>
    <row r="146" spans="2:4" x14ac:dyDescent="0.25">
      <c r="B146"/>
      <c r="C146"/>
      <c r="D146"/>
    </row>
    <row r="147" spans="2:4" x14ac:dyDescent="0.25">
      <c r="B147"/>
      <c r="C147"/>
      <c r="D147"/>
    </row>
    <row r="148" spans="2:4" x14ac:dyDescent="0.25">
      <c r="B148"/>
      <c r="C148"/>
      <c r="D148"/>
    </row>
    <row r="149" spans="2:4" x14ac:dyDescent="0.25">
      <c r="B149"/>
      <c r="C149"/>
      <c r="D149"/>
    </row>
    <row r="150" spans="2:4" x14ac:dyDescent="0.25">
      <c r="B150"/>
      <c r="C150"/>
      <c r="D150"/>
    </row>
    <row r="151" spans="2:4" x14ac:dyDescent="0.25">
      <c r="B151"/>
      <c r="C151"/>
      <c r="D151"/>
    </row>
    <row r="152" spans="2:4" x14ac:dyDescent="0.25">
      <c r="B152"/>
      <c r="C152"/>
      <c r="D152"/>
    </row>
    <row r="153" spans="2:4" x14ac:dyDescent="0.25">
      <c r="B153"/>
      <c r="C153"/>
      <c r="D153"/>
    </row>
    <row r="154" spans="2:4" x14ac:dyDescent="0.25">
      <c r="B154"/>
      <c r="C154"/>
      <c r="D154"/>
    </row>
    <row r="155" spans="2:4" x14ac:dyDescent="0.25">
      <c r="B155"/>
      <c r="C155"/>
      <c r="D155"/>
    </row>
    <row r="156" spans="2:4" x14ac:dyDescent="0.25">
      <c r="B156"/>
      <c r="C156"/>
      <c r="D156"/>
    </row>
    <row r="157" spans="2:4" x14ac:dyDescent="0.25">
      <c r="B157"/>
      <c r="C157"/>
      <c r="D157"/>
    </row>
    <row r="170" spans="2:4" x14ac:dyDescent="0.25">
      <c r="B170" s="84" t="s">
        <v>739</v>
      </c>
      <c r="C170" t="s">
        <v>1054</v>
      </c>
    </row>
    <row r="172" spans="2:4" x14ac:dyDescent="0.25">
      <c r="B172" s="84" t="s">
        <v>1050</v>
      </c>
      <c r="C172" t="s">
        <v>1052</v>
      </c>
      <c r="D172" t="s">
        <v>1053</v>
      </c>
    </row>
    <row r="173" spans="2:4" x14ac:dyDescent="0.25">
      <c r="B173" s="24" t="s">
        <v>306</v>
      </c>
      <c r="C173" s="868">
        <v>0.11088662194402626</v>
      </c>
      <c r="D173" s="868">
        <v>0.13248120823044013</v>
      </c>
    </row>
    <row r="174" spans="2:4" x14ac:dyDescent="0.25">
      <c r="B174" s="24" t="s">
        <v>15</v>
      </c>
      <c r="C174" s="868">
        <v>6.1512647897285062E-2</v>
      </c>
      <c r="D174" s="868">
        <v>7.2510073110522558E-2</v>
      </c>
    </row>
    <row r="175" spans="2:4" x14ac:dyDescent="0.25">
      <c r="B175" s="24" t="s">
        <v>16</v>
      </c>
      <c r="C175" s="868">
        <v>0.13625130224347376</v>
      </c>
      <c r="D175" s="868">
        <v>0.13438857858551156</v>
      </c>
    </row>
    <row r="176" spans="2:4" x14ac:dyDescent="0.25">
      <c r="B176" s="24" t="s">
        <v>148</v>
      </c>
      <c r="C176" s="868">
        <v>0</v>
      </c>
      <c r="D176" s="868">
        <v>0</v>
      </c>
    </row>
    <row r="177" spans="2:4" x14ac:dyDescent="0.25">
      <c r="B177" s="24" t="s">
        <v>147</v>
      </c>
      <c r="C177" s="868">
        <v>2.9247489911205233E-3</v>
      </c>
      <c r="D177" s="868">
        <v>0.1108623384214056</v>
      </c>
    </row>
    <row r="178" spans="2:4" x14ac:dyDescent="0.25">
      <c r="B178" s="24" t="s">
        <v>149</v>
      </c>
      <c r="C178" s="868">
        <v>5.6423936270821415E-2</v>
      </c>
      <c r="D178" s="868">
        <v>8.8291861480181352E-2</v>
      </c>
    </row>
    <row r="179" spans="2:4" x14ac:dyDescent="0.25">
      <c r="B179" s="24" t="s">
        <v>1051</v>
      </c>
      <c r="C179" s="868">
        <v>0.367999257346727</v>
      </c>
      <c r="D179" s="868">
        <v>0.53853405982806113</v>
      </c>
    </row>
    <row r="180" spans="2:4" x14ac:dyDescent="0.25">
      <c r="B180"/>
      <c r="C180"/>
      <c r="D180"/>
    </row>
    <row r="181" spans="2:4" x14ac:dyDescent="0.25">
      <c r="B181"/>
      <c r="C181"/>
      <c r="D181"/>
    </row>
    <row r="182" spans="2:4" x14ac:dyDescent="0.25">
      <c r="B182"/>
      <c r="C182"/>
      <c r="D182"/>
    </row>
    <row r="183" spans="2:4" x14ac:dyDescent="0.25">
      <c r="B183"/>
      <c r="C183"/>
      <c r="D183"/>
    </row>
    <row r="184" spans="2:4" x14ac:dyDescent="0.25">
      <c r="B184"/>
      <c r="C184"/>
      <c r="D184"/>
    </row>
    <row r="185" spans="2:4" x14ac:dyDescent="0.25">
      <c r="B185"/>
      <c r="C185"/>
      <c r="D185"/>
    </row>
    <row r="186" spans="2:4" x14ac:dyDescent="0.25">
      <c r="B186"/>
      <c r="C186"/>
      <c r="D186"/>
    </row>
    <row r="187" spans="2:4" x14ac:dyDescent="0.25">
      <c r="B187"/>
      <c r="C187"/>
      <c r="D187"/>
    </row>
    <row r="188" spans="2:4" x14ac:dyDescent="0.25">
      <c r="B188"/>
      <c r="C188"/>
      <c r="D188"/>
    </row>
    <row r="189" spans="2:4" x14ac:dyDescent="0.25">
      <c r="B189"/>
      <c r="C189"/>
      <c r="D189"/>
    </row>
    <row r="190" spans="2:4" x14ac:dyDescent="0.25">
      <c r="B190"/>
      <c r="C190"/>
      <c r="D190"/>
    </row>
    <row r="191" spans="2:4" x14ac:dyDescent="0.25">
      <c r="B191"/>
      <c r="C191"/>
      <c r="D191"/>
    </row>
    <row r="192" spans="2:4" x14ac:dyDescent="0.25">
      <c r="B192"/>
      <c r="C192"/>
      <c r="D192"/>
    </row>
    <row r="193" spans="2:4" x14ac:dyDescent="0.25">
      <c r="B193"/>
      <c r="C193"/>
      <c r="D193"/>
    </row>
    <row r="194" spans="2:4" x14ac:dyDescent="0.25">
      <c r="B194"/>
      <c r="C194"/>
      <c r="D194"/>
    </row>
    <row r="195" spans="2:4" x14ac:dyDescent="0.25">
      <c r="B195"/>
      <c r="C195"/>
      <c r="D195"/>
    </row>
    <row r="196" spans="2:4" x14ac:dyDescent="0.25">
      <c r="B196"/>
      <c r="C196"/>
      <c r="D196"/>
    </row>
    <row r="197" spans="2:4" x14ac:dyDescent="0.25">
      <c r="B197"/>
      <c r="C197"/>
      <c r="D197"/>
    </row>
    <row r="198" spans="2:4" x14ac:dyDescent="0.25">
      <c r="B198"/>
      <c r="C198"/>
      <c r="D198"/>
    </row>
    <row r="199" spans="2:4" x14ac:dyDescent="0.25">
      <c r="B199"/>
      <c r="C199"/>
      <c r="D199"/>
    </row>
    <row r="200" spans="2:4" x14ac:dyDescent="0.25">
      <c r="B200"/>
      <c r="C200"/>
      <c r="D200"/>
    </row>
    <row r="201" spans="2:4" x14ac:dyDescent="0.25">
      <c r="B201" s="84" t="s">
        <v>739</v>
      </c>
      <c r="C201" t="s">
        <v>1054</v>
      </c>
      <c r="D201"/>
    </row>
    <row r="202" spans="2:4" x14ac:dyDescent="0.25">
      <c r="B202"/>
      <c r="C202"/>
      <c r="D202"/>
    </row>
    <row r="203" spans="2:4" x14ac:dyDescent="0.25">
      <c r="B203" s="84" t="s">
        <v>1050</v>
      </c>
      <c r="C203" t="s">
        <v>1055</v>
      </c>
      <c r="D203" t="s">
        <v>1056</v>
      </c>
    </row>
    <row r="204" spans="2:4" x14ac:dyDescent="0.25">
      <c r="B204" s="24" t="s">
        <v>306</v>
      </c>
      <c r="C204" s="207">
        <v>239135</v>
      </c>
      <c r="D204" s="207">
        <v>227178</v>
      </c>
    </row>
    <row r="205" spans="2:4" x14ac:dyDescent="0.25">
      <c r="B205" s="24" t="s">
        <v>15</v>
      </c>
      <c r="C205" s="207">
        <v>2943989</v>
      </c>
      <c r="D205" s="207">
        <v>2796789</v>
      </c>
    </row>
    <row r="206" spans="2:4" x14ac:dyDescent="0.25">
      <c r="B206" s="24" t="s">
        <v>16</v>
      </c>
      <c r="C206" s="207">
        <v>20227650.999999996</v>
      </c>
      <c r="D206" s="207">
        <v>19823097.999999996</v>
      </c>
    </row>
    <row r="207" spans="2:4" x14ac:dyDescent="0.25">
      <c r="B207" s="24" t="s">
        <v>148</v>
      </c>
      <c r="C207" s="207">
        <v>8610052</v>
      </c>
      <c r="D207" s="207">
        <v>8610052</v>
      </c>
    </row>
    <row r="208" spans="2:4" x14ac:dyDescent="0.25">
      <c r="B208" s="24" t="s">
        <v>147</v>
      </c>
      <c r="C208" s="207">
        <v>86148546</v>
      </c>
      <c r="D208" s="207">
        <v>86148546</v>
      </c>
    </row>
    <row r="209" spans="2:4" x14ac:dyDescent="0.25">
      <c r="B209" s="24" t="s">
        <v>149</v>
      </c>
      <c r="C209" s="207">
        <v>296545699</v>
      </c>
      <c r="D209" s="207">
        <v>240446093</v>
      </c>
    </row>
    <row r="210" spans="2:4" x14ac:dyDescent="0.25">
      <c r="B210" s="24" t="s">
        <v>1051</v>
      </c>
      <c r="C210" s="207">
        <v>414715072</v>
      </c>
      <c r="D210" s="207">
        <v>358051756</v>
      </c>
    </row>
    <row r="211" spans="2:4" x14ac:dyDescent="0.25">
      <c r="B211"/>
      <c r="C211"/>
      <c r="D211"/>
    </row>
    <row r="212" spans="2:4" x14ac:dyDescent="0.25">
      <c r="B212"/>
      <c r="C212"/>
      <c r="D212"/>
    </row>
    <row r="213" spans="2:4" x14ac:dyDescent="0.25">
      <c r="B213"/>
      <c r="C213"/>
      <c r="D213"/>
    </row>
    <row r="214" spans="2:4" x14ac:dyDescent="0.25">
      <c r="B214"/>
      <c r="C214"/>
      <c r="D214"/>
    </row>
    <row r="215" spans="2:4" x14ac:dyDescent="0.25">
      <c r="B215"/>
      <c r="C215"/>
      <c r="D215"/>
    </row>
    <row r="216" spans="2:4" x14ac:dyDescent="0.25">
      <c r="B216"/>
      <c r="C216"/>
      <c r="D216"/>
    </row>
    <row r="217" spans="2:4" x14ac:dyDescent="0.25">
      <c r="B217"/>
      <c r="C217"/>
      <c r="D217"/>
    </row>
    <row r="218" spans="2:4" x14ac:dyDescent="0.25">
      <c r="B218"/>
      <c r="C218"/>
      <c r="D218"/>
    </row>
    <row r="219" spans="2:4" x14ac:dyDescent="0.25">
      <c r="B219"/>
      <c r="C219"/>
      <c r="D219"/>
    </row>
    <row r="220" spans="2:4" x14ac:dyDescent="0.25">
      <c r="B220"/>
      <c r="C220"/>
      <c r="D220"/>
    </row>
    <row r="221" spans="2:4" x14ac:dyDescent="0.25">
      <c r="B221"/>
      <c r="C221"/>
      <c r="D221"/>
    </row>
    <row r="222" spans="2:4" x14ac:dyDescent="0.25">
      <c r="B222"/>
      <c r="C222"/>
      <c r="D222"/>
    </row>
    <row r="223" spans="2:4" x14ac:dyDescent="0.25">
      <c r="B223"/>
      <c r="C223"/>
      <c r="D223"/>
    </row>
    <row r="224" spans="2:4" x14ac:dyDescent="0.25">
      <c r="B224"/>
      <c r="C224"/>
      <c r="D224"/>
    </row>
    <row r="225" spans="2:4" x14ac:dyDescent="0.25">
      <c r="B225"/>
      <c r="C225"/>
      <c r="D225"/>
    </row>
    <row r="226" spans="2:4" x14ac:dyDescent="0.25">
      <c r="B226"/>
      <c r="C226"/>
      <c r="D226"/>
    </row>
    <row r="227" spans="2:4" x14ac:dyDescent="0.25">
      <c r="B227"/>
      <c r="C227"/>
      <c r="D227"/>
    </row>
    <row r="228" spans="2:4" x14ac:dyDescent="0.25">
      <c r="B228"/>
      <c r="C228"/>
      <c r="D228"/>
    </row>
    <row r="229" spans="2:4" x14ac:dyDescent="0.25">
      <c r="B229"/>
      <c r="C229"/>
      <c r="D229"/>
    </row>
    <row r="230" spans="2:4" x14ac:dyDescent="0.25">
      <c r="B230"/>
      <c r="C230"/>
      <c r="D230"/>
    </row>
    <row r="231" spans="2:4" x14ac:dyDescent="0.25">
      <c r="B231"/>
      <c r="C231"/>
      <c r="D231"/>
    </row>
    <row r="232" spans="2:4" x14ac:dyDescent="0.25">
      <c r="B232"/>
      <c r="C232"/>
      <c r="D232"/>
    </row>
    <row r="233" spans="2:4" x14ac:dyDescent="0.25">
      <c r="B233"/>
      <c r="C233"/>
      <c r="D233"/>
    </row>
    <row r="234" spans="2:4" x14ac:dyDescent="0.25">
      <c r="B234"/>
      <c r="C234"/>
      <c r="D234"/>
    </row>
    <row r="235" spans="2:4" x14ac:dyDescent="0.25">
      <c r="B235"/>
      <c r="C235"/>
      <c r="D235"/>
    </row>
    <row r="236" spans="2:4" x14ac:dyDescent="0.25">
      <c r="B236"/>
      <c r="C236"/>
      <c r="D236"/>
    </row>
    <row r="237" spans="2:4" x14ac:dyDescent="0.25">
      <c r="B237"/>
      <c r="C237"/>
      <c r="D237"/>
    </row>
    <row r="238" spans="2:4" x14ac:dyDescent="0.25">
      <c r="B238"/>
      <c r="C238"/>
      <c r="D238"/>
    </row>
    <row r="239" spans="2:4" x14ac:dyDescent="0.25">
      <c r="B239"/>
      <c r="C239"/>
      <c r="D239"/>
    </row>
    <row r="240" spans="2:4" x14ac:dyDescent="0.25">
      <c r="B240"/>
      <c r="C240"/>
      <c r="D240"/>
    </row>
    <row r="241" spans="2:4" x14ac:dyDescent="0.25">
      <c r="B241"/>
      <c r="C241"/>
      <c r="D241"/>
    </row>
    <row r="242" spans="2:4" x14ac:dyDescent="0.25">
      <c r="B242"/>
      <c r="C242"/>
      <c r="D242"/>
    </row>
    <row r="243" spans="2:4" x14ac:dyDescent="0.25">
      <c r="B243"/>
      <c r="C243"/>
      <c r="D243"/>
    </row>
    <row r="244" spans="2:4" x14ac:dyDescent="0.25">
      <c r="B244"/>
      <c r="C244"/>
      <c r="D244"/>
    </row>
    <row r="245" spans="2:4" x14ac:dyDescent="0.25">
      <c r="B245"/>
      <c r="C245"/>
      <c r="D245"/>
    </row>
    <row r="246" spans="2:4" x14ac:dyDescent="0.25">
      <c r="B246"/>
      <c r="C246"/>
      <c r="D246"/>
    </row>
    <row r="247" spans="2:4" x14ac:dyDescent="0.25">
      <c r="B247"/>
      <c r="C247"/>
      <c r="D247"/>
    </row>
    <row r="248" spans="2:4" x14ac:dyDescent="0.25">
      <c r="B248"/>
      <c r="C248"/>
      <c r="D248"/>
    </row>
    <row r="249" spans="2:4" x14ac:dyDescent="0.25">
      <c r="B249"/>
      <c r="C249"/>
      <c r="D249"/>
    </row>
    <row r="250" spans="2:4" x14ac:dyDescent="0.25">
      <c r="B250"/>
      <c r="C250"/>
      <c r="D250"/>
    </row>
    <row r="251" spans="2:4" x14ac:dyDescent="0.25">
      <c r="B251"/>
      <c r="C251"/>
      <c r="D251"/>
    </row>
    <row r="252" spans="2:4" x14ac:dyDescent="0.25">
      <c r="B252"/>
      <c r="C252"/>
      <c r="D252"/>
    </row>
    <row r="253" spans="2:4" x14ac:dyDescent="0.25">
      <c r="B253"/>
      <c r="C253"/>
      <c r="D253"/>
    </row>
    <row r="254" spans="2:4" x14ac:dyDescent="0.25">
      <c r="B254"/>
      <c r="C254"/>
      <c r="D254"/>
    </row>
    <row r="255" spans="2:4" x14ac:dyDescent="0.25">
      <c r="B255"/>
      <c r="C255"/>
      <c r="D255"/>
    </row>
    <row r="256" spans="2:4" x14ac:dyDescent="0.25">
      <c r="B256"/>
      <c r="C256"/>
      <c r="D256"/>
    </row>
    <row r="257" spans="2:4" x14ac:dyDescent="0.25">
      <c r="B257"/>
      <c r="C257"/>
      <c r="D257"/>
    </row>
    <row r="258" spans="2:4" x14ac:dyDescent="0.25">
      <c r="B258"/>
      <c r="C258"/>
      <c r="D258"/>
    </row>
    <row r="259" spans="2:4" x14ac:dyDescent="0.25">
      <c r="B259"/>
      <c r="C259"/>
      <c r="D259"/>
    </row>
    <row r="260" spans="2:4" x14ac:dyDescent="0.25">
      <c r="B260"/>
      <c r="C260"/>
      <c r="D260"/>
    </row>
    <row r="261" spans="2:4" x14ac:dyDescent="0.25">
      <c r="B261"/>
      <c r="C261"/>
      <c r="D261"/>
    </row>
    <row r="262" spans="2:4" x14ac:dyDescent="0.25">
      <c r="B262"/>
      <c r="C262"/>
      <c r="D262"/>
    </row>
    <row r="263" spans="2:4" x14ac:dyDescent="0.25">
      <c r="B263"/>
      <c r="C263"/>
      <c r="D263"/>
    </row>
    <row r="264" spans="2:4" x14ac:dyDescent="0.25">
      <c r="B264"/>
      <c r="C264"/>
      <c r="D264"/>
    </row>
    <row r="265" spans="2:4" x14ac:dyDescent="0.25">
      <c r="B265"/>
      <c r="C265"/>
      <c r="D265"/>
    </row>
    <row r="266" spans="2:4" x14ac:dyDescent="0.25">
      <c r="B266"/>
      <c r="C266"/>
      <c r="D266"/>
    </row>
    <row r="267" spans="2:4" x14ac:dyDescent="0.25">
      <c r="B267"/>
      <c r="C267"/>
      <c r="D267"/>
    </row>
    <row r="268" spans="2:4" x14ac:dyDescent="0.25">
      <c r="B268"/>
      <c r="C268"/>
      <c r="D268"/>
    </row>
    <row r="269" spans="2:4" x14ac:dyDescent="0.25">
      <c r="B269"/>
      <c r="C269"/>
      <c r="D269"/>
    </row>
    <row r="270" spans="2:4" x14ac:dyDescent="0.25">
      <c r="B270"/>
      <c r="C270"/>
      <c r="D270"/>
    </row>
    <row r="271" spans="2:4" x14ac:dyDescent="0.25">
      <c r="B271"/>
      <c r="C271"/>
      <c r="D271"/>
    </row>
    <row r="272" spans="2:4" x14ac:dyDescent="0.25">
      <c r="B272"/>
      <c r="C272"/>
      <c r="D272"/>
    </row>
    <row r="273" spans="2:4" x14ac:dyDescent="0.25">
      <c r="B273"/>
      <c r="C273"/>
      <c r="D273"/>
    </row>
    <row r="274" spans="2:4" x14ac:dyDescent="0.25">
      <c r="B274"/>
      <c r="C274"/>
      <c r="D274"/>
    </row>
    <row r="275" spans="2:4" x14ac:dyDescent="0.25">
      <c r="B275"/>
      <c r="C275"/>
      <c r="D275"/>
    </row>
    <row r="276" spans="2:4" x14ac:dyDescent="0.25">
      <c r="B276"/>
      <c r="C276"/>
      <c r="D276"/>
    </row>
    <row r="277" spans="2:4" x14ac:dyDescent="0.25">
      <c r="B277"/>
      <c r="C277"/>
      <c r="D277"/>
    </row>
    <row r="278" spans="2:4" x14ac:dyDescent="0.25">
      <c r="B278"/>
      <c r="C278"/>
      <c r="D278"/>
    </row>
    <row r="279" spans="2:4" x14ac:dyDescent="0.25">
      <c r="B279"/>
      <c r="C279"/>
      <c r="D279"/>
    </row>
    <row r="280" spans="2:4" x14ac:dyDescent="0.25">
      <c r="B280"/>
      <c r="C280"/>
      <c r="D280"/>
    </row>
    <row r="281" spans="2:4" x14ac:dyDescent="0.25">
      <c r="B281"/>
      <c r="C281"/>
      <c r="D281"/>
    </row>
    <row r="282" spans="2:4" x14ac:dyDescent="0.25">
      <c r="B282"/>
      <c r="C282"/>
      <c r="D282"/>
    </row>
    <row r="283" spans="2:4" x14ac:dyDescent="0.25">
      <c r="B283"/>
      <c r="C283"/>
      <c r="D283"/>
    </row>
    <row r="284" spans="2:4" x14ac:dyDescent="0.25">
      <c r="B284"/>
      <c r="C284"/>
      <c r="D284"/>
    </row>
    <row r="285" spans="2:4" x14ac:dyDescent="0.25">
      <c r="B285"/>
      <c r="C285"/>
      <c r="D285"/>
    </row>
    <row r="286" spans="2:4" x14ac:dyDescent="0.25">
      <c r="B286"/>
      <c r="C286"/>
      <c r="D286"/>
    </row>
    <row r="287" spans="2:4" x14ac:dyDescent="0.25">
      <c r="B287"/>
      <c r="C287"/>
      <c r="D287"/>
    </row>
    <row r="288" spans="2:4" x14ac:dyDescent="0.25">
      <c r="B288"/>
      <c r="C288"/>
      <c r="D288"/>
    </row>
    <row r="289" spans="2:4" x14ac:dyDescent="0.25">
      <c r="B289"/>
      <c r="C289"/>
      <c r="D289"/>
    </row>
    <row r="290" spans="2:4" x14ac:dyDescent="0.25">
      <c r="B290"/>
      <c r="C290"/>
      <c r="D290"/>
    </row>
    <row r="291" spans="2:4" x14ac:dyDescent="0.25">
      <c r="B291"/>
      <c r="C291"/>
      <c r="D291"/>
    </row>
    <row r="292" spans="2:4" x14ac:dyDescent="0.25">
      <c r="B292"/>
      <c r="C292"/>
      <c r="D292"/>
    </row>
    <row r="293" spans="2:4" x14ac:dyDescent="0.25">
      <c r="B293"/>
      <c r="C293"/>
      <c r="D293"/>
    </row>
    <row r="294" spans="2:4" x14ac:dyDescent="0.25">
      <c r="B294"/>
      <c r="C294"/>
      <c r="D294"/>
    </row>
    <row r="295" spans="2:4" x14ac:dyDescent="0.25">
      <c r="B295"/>
      <c r="C295"/>
      <c r="D295"/>
    </row>
    <row r="296" spans="2:4" x14ac:dyDescent="0.25">
      <c r="B296"/>
      <c r="C296"/>
      <c r="D296"/>
    </row>
    <row r="297" spans="2:4" x14ac:dyDescent="0.25">
      <c r="B297"/>
      <c r="C297"/>
      <c r="D297"/>
    </row>
    <row r="298" spans="2:4" x14ac:dyDescent="0.25">
      <c r="B298"/>
      <c r="C298"/>
      <c r="D298"/>
    </row>
    <row r="299" spans="2:4" x14ac:dyDescent="0.25">
      <c r="B299"/>
      <c r="C299"/>
      <c r="D299"/>
    </row>
    <row r="300" spans="2:4" x14ac:dyDescent="0.25">
      <c r="B300"/>
      <c r="C300"/>
      <c r="D300"/>
    </row>
    <row r="301" spans="2:4" x14ac:dyDescent="0.25">
      <c r="B301"/>
      <c r="C301"/>
      <c r="D301"/>
    </row>
    <row r="302" spans="2:4" x14ac:dyDescent="0.25">
      <c r="B302"/>
      <c r="C302"/>
      <c r="D302"/>
    </row>
    <row r="303" spans="2:4" x14ac:dyDescent="0.25">
      <c r="B303"/>
      <c r="C303"/>
      <c r="D303"/>
    </row>
    <row r="304" spans="2:4" x14ac:dyDescent="0.25">
      <c r="B304"/>
      <c r="C304"/>
      <c r="D304"/>
    </row>
    <row r="305" spans="2:4" x14ac:dyDescent="0.25">
      <c r="B305"/>
      <c r="C305"/>
      <c r="D305"/>
    </row>
    <row r="306" spans="2:4" x14ac:dyDescent="0.25">
      <c r="B306"/>
      <c r="C306"/>
      <c r="D306"/>
    </row>
    <row r="307" spans="2:4" x14ac:dyDescent="0.25">
      <c r="B307"/>
      <c r="C307"/>
      <c r="D307"/>
    </row>
    <row r="308" spans="2:4" x14ac:dyDescent="0.25">
      <c r="B308"/>
      <c r="C308"/>
      <c r="D308"/>
    </row>
    <row r="309" spans="2:4" x14ac:dyDescent="0.25">
      <c r="B309"/>
      <c r="C309"/>
      <c r="D309"/>
    </row>
    <row r="310" spans="2:4" x14ac:dyDescent="0.25">
      <c r="B310"/>
      <c r="C310"/>
      <c r="D310"/>
    </row>
    <row r="311" spans="2:4" x14ac:dyDescent="0.25">
      <c r="B311"/>
      <c r="C311"/>
      <c r="D311"/>
    </row>
    <row r="312" spans="2:4" x14ac:dyDescent="0.25">
      <c r="B312"/>
      <c r="C312"/>
      <c r="D312"/>
    </row>
    <row r="313" spans="2:4" x14ac:dyDescent="0.25">
      <c r="B313"/>
      <c r="C313"/>
      <c r="D313"/>
    </row>
    <row r="314" spans="2:4" x14ac:dyDescent="0.25">
      <c r="B314"/>
      <c r="C314"/>
      <c r="D314"/>
    </row>
    <row r="315" spans="2:4" x14ac:dyDescent="0.25">
      <c r="B315"/>
      <c r="C315"/>
      <c r="D315"/>
    </row>
    <row r="316" spans="2:4" x14ac:dyDescent="0.25">
      <c r="B316"/>
      <c r="C316"/>
      <c r="D316"/>
    </row>
    <row r="317" spans="2:4" x14ac:dyDescent="0.25">
      <c r="B317"/>
      <c r="C317"/>
      <c r="D317"/>
    </row>
    <row r="318" spans="2:4" x14ac:dyDescent="0.25">
      <c r="B318"/>
      <c r="C318"/>
      <c r="D318"/>
    </row>
    <row r="319" spans="2:4" x14ac:dyDescent="0.25">
      <c r="B319"/>
      <c r="C319"/>
      <c r="D319"/>
    </row>
    <row r="320" spans="2:4" x14ac:dyDescent="0.25">
      <c r="B320"/>
      <c r="C320"/>
      <c r="D320"/>
    </row>
    <row r="321" spans="2:4" x14ac:dyDescent="0.25">
      <c r="B321"/>
      <c r="C321"/>
      <c r="D321"/>
    </row>
    <row r="322" spans="2:4" x14ac:dyDescent="0.25">
      <c r="B322"/>
      <c r="C322"/>
      <c r="D322"/>
    </row>
    <row r="323" spans="2:4" x14ac:dyDescent="0.25">
      <c r="B323"/>
      <c r="C323"/>
      <c r="D323"/>
    </row>
    <row r="324" spans="2:4" x14ac:dyDescent="0.25">
      <c r="B324"/>
      <c r="C324"/>
      <c r="D324"/>
    </row>
    <row r="325" spans="2:4" x14ac:dyDescent="0.25">
      <c r="B325"/>
      <c r="C325"/>
      <c r="D325"/>
    </row>
    <row r="326" spans="2:4" x14ac:dyDescent="0.25">
      <c r="B326"/>
      <c r="C326"/>
      <c r="D326"/>
    </row>
    <row r="327" spans="2:4" x14ac:dyDescent="0.25">
      <c r="B327"/>
      <c r="C327"/>
      <c r="D327"/>
    </row>
    <row r="328" spans="2:4" x14ac:dyDescent="0.25">
      <c r="B328"/>
      <c r="C328"/>
      <c r="D328"/>
    </row>
    <row r="329" spans="2:4" x14ac:dyDescent="0.25">
      <c r="B329"/>
      <c r="C329"/>
      <c r="D329"/>
    </row>
    <row r="330" spans="2:4" x14ac:dyDescent="0.25">
      <c r="B330"/>
      <c r="C330"/>
      <c r="D330"/>
    </row>
    <row r="331" spans="2:4" x14ac:dyDescent="0.25">
      <c r="B331"/>
      <c r="C331"/>
      <c r="D331"/>
    </row>
    <row r="332" spans="2:4" x14ac:dyDescent="0.25">
      <c r="B332"/>
      <c r="C332"/>
      <c r="D332"/>
    </row>
    <row r="333" spans="2:4" x14ac:dyDescent="0.25">
      <c r="B333"/>
      <c r="C333"/>
      <c r="D333"/>
    </row>
    <row r="334" spans="2:4" x14ac:dyDescent="0.25">
      <c r="B334"/>
      <c r="C334"/>
      <c r="D334"/>
    </row>
    <row r="335" spans="2:4" x14ac:dyDescent="0.25">
      <c r="B335"/>
      <c r="C335"/>
      <c r="D335"/>
    </row>
    <row r="336" spans="2:4" x14ac:dyDescent="0.25">
      <c r="B336"/>
      <c r="C336"/>
      <c r="D336"/>
    </row>
    <row r="337" spans="2:4" x14ac:dyDescent="0.25">
      <c r="B337"/>
      <c r="C337"/>
      <c r="D337"/>
    </row>
    <row r="338" spans="2:4" x14ac:dyDescent="0.25">
      <c r="B338"/>
      <c r="C338"/>
      <c r="D338"/>
    </row>
    <row r="339" spans="2:4" x14ac:dyDescent="0.25">
      <c r="B339"/>
      <c r="C339"/>
      <c r="D339"/>
    </row>
    <row r="340" spans="2:4" x14ac:dyDescent="0.25">
      <c r="B340"/>
      <c r="C340"/>
      <c r="D340"/>
    </row>
    <row r="341" spans="2:4" x14ac:dyDescent="0.25">
      <c r="B341"/>
      <c r="C341"/>
      <c r="D341"/>
    </row>
    <row r="342" spans="2:4" x14ac:dyDescent="0.25">
      <c r="B342"/>
      <c r="C342"/>
      <c r="D342"/>
    </row>
    <row r="343" spans="2:4" x14ac:dyDescent="0.25">
      <c r="B343"/>
      <c r="C343"/>
      <c r="D343"/>
    </row>
    <row r="344" spans="2:4" x14ac:dyDescent="0.25">
      <c r="B344"/>
      <c r="C344"/>
      <c r="D344"/>
    </row>
    <row r="345" spans="2:4" x14ac:dyDescent="0.25">
      <c r="B345"/>
      <c r="C345"/>
      <c r="D345"/>
    </row>
    <row r="346" spans="2:4" x14ac:dyDescent="0.25">
      <c r="B346"/>
      <c r="C346"/>
      <c r="D346"/>
    </row>
    <row r="347" spans="2:4" x14ac:dyDescent="0.25">
      <c r="B347"/>
      <c r="C347"/>
      <c r="D347"/>
    </row>
    <row r="348" spans="2:4" x14ac:dyDescent="0.25">
      <c r="B348"/>
      <c r="C348"/>
      <c r="D348"/>
    </row>
    <row r="349" spans="2:4" x14ac:dyDescent="0.25">
      <c r="B349"/>
      <c r="C349"/>
      <c r="D349"/>
    </row>
    <row r="350" spans="2:4" x14ac:dyDescent="0.25">
      <c r="B350"/>
      <c r="C350"/>
      <c r="D350"/>
    </row>
    <row r="351" spans="2:4" x14ac:dyDescent="0.25">
      <c r="B351"/>
      <c r="C351"/>
      <c r="D351"/>
    </row>
    <row r="352" spans="2:4" x14ac:dyDescent="0.25">
      <c r="B352"/>
      <c r="C352"/>
      <c r="D352"/>
    </row>
    <row r="353" spans="2:4" x14ac:dyDescent="0.25">
      <c r="B353"/>
      <c r="C353"/>
      <c r="D353"/>
    </row>
    <row r="354" spans="2:4" x14ac:dyDescent="0.25">
      <c r="B354"/>
      <c r="C354"/>
      <c r="D354"/>
    </row>
    <row r="355" spans="2:4" x14ac:dyDescent="0.25">
      <c r="B355"/>
      <c r="C355"/>
      <c r="D355"/>
    </row>
    <row r="356" spans="2:4" x14ac:dyDescent="0.25">
      <c r="B356"/>
      <c r="C356"/>
      <c r="D356"/>
    </row>
    <row r="357" spans="2:4" x14ac:dyDescent="0.25">
      <c r="B357"/>
      <c r="C357"/>
      <c r="D357"/>
    </row>
    <row r="358" spans="2:4" x14ac:dyDescent="0.25">
      <c r="B358"/>
      <c r="C358"/>
      <c r="D358"/>
    </row>
    <row r="359" spans="2:4" x14ac:dyDescent="0.25">
      <c r="B359"/>
      <c r="C359"/>
      <c r="D359"/>
    </row>
    <row r="360" spans="2:4" x14ac:dyDescent="0.25">
      <c r="B360"/>
      <c r="C360"/>
      <c r="D360"/>
    </row>
    <row r="361" spans="2:4" x14ac:dyDescent="0.25">
      <c r="B361"/>
      <c r="C361"/>
      <c r="D361"/>
    </row>
    <row r="362" spans="2:4" x14ac:dyDescent="0.25">
      <c r="B362"/>
      <c r="C362"/>
      <c r="D362"/>
    </row>
    <row r="363" spans="2:4" x14ac:dyDescent="0.25">
      <c r="B363"/>
      <c r="C363"/>
      <c r="D363"/>
    </row>
    <row r="364" spans="2:4" x14ac:dyDescent="0.25">
      <c r="B364"/>
      <c r="C364"/>
      <c r="D364"/>
    </row>
    <row r="365" spans="2:4" x14ac:dyDescent="0.25">
      <c r="B365"/>
      <c r="C365"/>
      <c r="D365"/>
    </row>
    <row r="366" spans="2:4" x14ac:dyDescent="0.25">
      <c r="B366"/>
      <c r="C366"/>
      <c r="D366"/>
    </row>
    <row r="367" spans="2:4" x14ac:dyDescent="0.25">
      <c r="B367"/>
      <c r="C367"/>
      <c r="D367"/>
    </row>
    <row r="368" spans="2:4" x14ac:dyDescent="0.25">
      <c r="B368"/>
      <c r="C368"/>
      <c r="D368"/>
    </row>
    <row r="369" spans="2:4" x14ac:dyDescent="0.25">
      <c r="B369"/>
      <c r="C369"/>
      <c r="D369"/>
    </row>
    <row r="370" spans="2:4" x14ac:dyDescent="0.25">
      <c r="B370"/>
      <c r="C370"/>
      <c r="D370"/>
    </row>
    <row r="371" spans="2:4" x14ac:dyDescent="0.25">
      <c r="B371"/>
      <c r="C371"/>
      <c r="D371"/>
    </row>
    <row r="372" spans="2:4" x14ac:dyDescent="0.25">
      <c r="B372"/>
      <c r="C372"/>
      <c r="D372"/>
    </row>
    <row r="373" spans="2:4" x14ac:dyDescent="0.25">
      <c r="B373"/>
      <c r="C373"/>
      <c r="D373"/>
    </row>
    <row r="374" spans="2:4" x14ac:dyDescent="0.25">
      <c r="B374"/>
      <c r="C374"/>
      <c r="D374"/>
    </row>
    <row r="375" spans="2:4" x14ac:dyDescent="0.25">
      <c r="B375"/>
      <c r="C375"/>
      <c r="D375"/>
    </row>
    <row r="376" spans="2:4" x14ac:dyDescent="0.25">
      <c r="B376"/>
      <c r="C376"/>
      <c r="D376"/>
    </row>
    <row r="377" spans="2:4" x14ac:dyDescent="0.25">
      <c r="B377"/>
      <c r="C377"/>
      <c r="D377"/>
    </row>
    <row r="378" spans="2:4" x14ac:dyDescent="0.25">
      <c r="B378"/>
      <c r="C378"/>
      <c r="D378"/>
    </row>
    <row r="379" spans="2:4" x14ac:dyDescent="0.25">
      <c r="B379"/>
      <c r="C379"/>
      <c r="D379"/>
    </row>
    <row r="380" spans="2:4" x14ac:dyDescent="0.25">
      <c r="B380"/>
      <c r="C380"/>
      <c r="D380"/>
    </row>
    <row r="381" spans="2:4" x14ac:dyDescent="0.25">
      <c r="B381"/>
      <c r="C381"/>
      <c r="D381"/>
    </row>
    <row r="382" spans="2:4" x14ac:dyDescent="0.25">
      <c r="B382"/>
      <c r="C382"/>
      <c r="D382"/>
    </row>
    <row r="383" spans="2:4" x14ac:dyDescent="0.25">
      <c r="B383"/>
      <c r="C383"/>
      <c r="D383"/>
    </row>
    <row r="384" spans="2:4" x14ac:dyDescent="0.25">
      <c r="B384"/>
      <c r="C384"/>
      <c r="D384"/>
    </row>
    <row r="385" spans="2:4" x14ac:dyDescent="0.25">
      <c r="B385"/>
      <c r="C385"/>
      <c r="D385"/>
    </row>
    <row r="386" spans="2:4" x14ac:dyDescent="0.25">
      <c r="B386"/>
      <c r="C386"/>
      <c r="D386"/>
    </row>
    <row r="387" spans="2:4" x14ac:dyDescent="0.25">
      <c r="B387"/>
      <c r="C387"/>
      <c r="D387"/>
    </row>
    <row r="388" spans="2:4" x14ac:dyDescent="0.25">
      <c r="B388"/>
      <c r="C388"/>
      <c r="D388"/>
    </row>
    <row r="389" spans="2:4" x14ac:dyDescent="0.25">
      <c r="B389"/>
      <c r="C389"/>
      <c r="D389"/>
    </row>
    <row r="390" spans="2:4" x14ac:dyDescent="0.25">
      <c r="B390"/>
      <c r="C390"/>
      <c r="D390"/>
    </row>
    <row r="391" spans="2:4" x14ac:dyDescent="0.25">
      <c r="B391"/>
      <c r="C391"/>
      <c r="D391"/>
    </row>
    <row r="392" spans="2:4" x14ac:dyDescent="0.25">
      <c r="B392"/>
      <c r="C392"/>
      <c r="D392"/>
    </row>
    <row r="393" spans="2:4" x14ac:dyDescent="0.25">
      <c r="B393"/>
      <c r="C393"/>
      <c r="D393"/>
    </row>
    <row r="394" spans="2:4" x14ac:dyDescent="0.25">
      <c r="B394"/>
      <c r="C394"/>
      <c r="D394"/>
    </row>
    <row r="395" spans="2:4" x14ac:dyDescent="0.25">
      <c r="B395"/>
      <c r="C395"/>
      <c r="D395"/>
    </row>
    <row r="396" spans="2:4" x14ac:dyDescent="0.25">
      <c r="B396"/>
      <c r="C396"/>
      <c r="D396"/>
    </row>
    <row r="397" spans="2:4" x14ac:dyDescent="0.25">
      <c r="B397"/>
      <c r="C397"/>
      <c r="D397"/>
    </row>
    <row r="398" spans="2:4" x14ac:dyDescent="0.25">
      <c r="B398"/>
      <c r="C398"/>
      <c r="D398"/>
    </row>
    <row r="399" spans="2:4" x14ac:dyDescent="0.25">
      <c r="B399"/>
      <c r="C399"/>
      <c r="D399"/>
    </row>
    <row r="400" spans="2:4" x14ac:dyDescent="0.25">
      <c r="B400"/>
      <c r="C400"/>
      <c r="D400"/>
    </row>
    <row r="401" spans="2:4" x14ac:dyDescent="0.25">
      <c r="B401"/>
      <c r="C401"/>
      <c r="D401"/>
    </row>
    <row r="402" spans="2:4" x14ac:dyDescent="0.25">
      <c r="B402"/>
      <c r="C402"/>
      <c r="D402"/>
    </row>
    <row r="403" spans="2:4" x14ac:dyDescent="0.25">
      <c r="B403"/>
      <c r="C403"/>
      <c r="D403"/>
    </row>
    <row r="404" spans="2:4" x14ac:dyDescent="0.25">
      <c r="B404"/>
      <c r="C404"/>
      <c r="D404"/>
    </row>
    <row r="405" spans="2:4" x14ac:dyDescent="0.25">
      <c r="B405"/>
      <c r="C405"/>
      <c r="D405"/>
    </row>
    <row r="406" spans="2:4" x14ac:dyDescent="0.25">
      <c r="B406"/>
      <c r="C406"/>
      <c r="D406"/>
    </row>
    <row r="407" spans="2:4" x14ac:dyDescent="0.25">
      <c r="B407"/>
      <c r="C407"/>
      <c r="D407"/>
    </row>
    <row r="408" spans="2:4" x14ac:dyDescent="0.25">
      <c r="B408"/>
      <c r="C408"/>
      <c r="D408"/>
    </row>
    <row r="409" spans="2:4" x14ac:dyDescent="0.25">
      <c r="B409"/>
      <c r="C409"/>
      <c r="D409"/>
    </row>
    <row r="410" spans="2:4" x14ac:dyDescent="0.25">
      <c r="B410"/>
      <c r="C410"/>
      <c r="D410"/>
    </row>
    <row r="411" spans="2:4" x14ac:dyDescent="0.25">
      <c r="B411"/>
      <c r="C411"/>
      <c r="D411"/>
    </row>
    <row r="412" spans="2:4" x14ac:dyDescent="0.25">
      <c r="B412"/>
      <c r="C412"/>
      <c r="D412"/>
    </row>
    <row r="413" spans="2:4" x14ac:dyDescent="0.25">
      <c r="B413"/>
      <c r="C413"/>
      <c r="D413"/>
    </row>
    <row r="414" spans="2:4" x14ac:dyDescent="0.25">
      <c r="B414"/>
      <c r="C414"/>
      <c r="D414"/>
    </row>
    <row r="415" spans="2:4" x14ac:dyDescent="0.25">
      <c r="B415"/>
      <c r="C415"/>
      <c r="D415"/>
    </row>
    <row r="416" spans="2:4" x14ac:dyDescent="0.25">
      <c r="B416"/>
      <c r="C416"/>
      <c r="D416"/>
    </row>
    <row r="417" spans="2:4" x14ac:dyDescent="0.25">
      <c r="B417"/>
      <c r="C417"/>
      <c r="D417"/>
    </row>
    <row r="418" spans="2:4" x14ac:dyDescent="0.25">
      <c r="B418"/>
      <c r="C418"/>
      <c r="D418"/>
    </row>
    <row r="419" spans="2:4" x14ac:dyDescent="0.25">
      <c r="B419"/>
      <c r="C419"/>
      <c r="D419"/>
    </row>
    <row r="420" spans="2:4" x14ac:dyDescent="0.25">
      <c r="B420"/>
      <c r="C420"/>
      <c r="D420"/>
    </row>
    <row r="421" spans="2:4" x14ac:dyDescent="0.25">
      <c r="B421"/>
      <c r="C421"/>
      <c r="D421"/>
    </row>
    <row r="422" spans="2:4" x14ac:dyDescent="0.25">
      <c r="B422"/>
      <c r="C422"/>
      <c r="D422"/>
    </row>
    <row r="423" spans="2:4" x14ac:dyDescent="0.25">
      <c r="B423"/>
      <c r="C423"/>
      <c r="D423"/>
    </row>
    <row r="424" spans="2:4" x14ac:dyDescent="0.25">
      <c r="B424"/>
      <c r="C424"/>
      <c r="D424"/>
    </row>
    <row r="425" spans="2:4" x14ac:dyDescent="0.25">
      <c r="B425"/>
      <c r="C425"/>
      <c r="D425"/>
    </row>
    <row r="426" spans="2:4" x14ac:dyDescent="0.25">
      <c r="B426"/>
      <c r="C426"/>
      <c r="D426"/>
    </row>
    <row r="427" spans="2:4" x14ac:dyDescent="0.25">
      <c r="B427"/>
      <c r="C427"/>
      <c r="D427"/>
    </row>
    <row r="428" spans="2:4" x14ac:dyDescent="0.25">
      <c r="B428"/>
      <c r="C428"/>
      <c r="D428"/>
    </row>
    <row r="429" spans="2:4" x14ac:dyDescent="0.25">
      <c r="B429"/>
      <c r="C429"/>
      <c r="D429"/>
    </row>
    <row r="430" spans="2:4" x14ac:dyDescent="0.25">
      <c r="B430"/>
    </row>
    <row r="431" spans="2:4" x14ac:dyDescent="0.25">
      <c r="B431"/>
    </row>
    <row r="432" spans="2:4"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sheetData>
  <pageMargins left="0.7" right="0.7" top="0.75" bottom="0.75" header="0.3" footer="0.3"/>
  <pageSetup orientation="portrait" verticalDpi="0" r:id="rId9"/>
  <drawing r:id="rId1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X333"/>
  <sheetViews>
    <sheetView tabSelected="1" zoomScale="80" zoomScaleNormal="80" workbookViewId="0">
      <selection activeCell="K319" sqref="K319"/>
    </sheetView>
  </sheetViews>
  <sheetFormatPr baseColWidth="10" defaultColWidth="11.42578125" defaultRowHeight="12.75" customHeight="1" outlineLevelRow="3" x14ac:dyDescent="0.2"/>
  <cols>
    <col min="1" max="1" width="2.85546875" style="27" customWidth="1"/>
    <col min="2" max="2" width="6.28515625" style="53" customWidth="1"/>
    <col min="3" max="3" width="11.7109375" style="54" hidden="1" customWidth="1"/>
    <col min="4" max="4" width="6.7109375" style="55" hidden="1" customWidth="1"/>
    <col min="5" max="5" width="5.7109375" style="56" hidden="1" customWidth="1"/>
    <col min="6" max="6" width="16.28515625" style="56" hidden="1" customWidth="1"/>
    <col min="7" max="7" width="45.7109375" style="27" customWidth="1"/>
    <col min="8" max="8" width="23.7109375" style="27" customWidth="1"/>
    <col min="9" max="10" width="23.7109375" style="26" customWidth="1"/>
    <col min="11" max="11" width="23.7109375" style="217" customWidth="1"/>
    <col min="12" max="12" width="23.7109375" style="67" hidden="1" customWidth="1"/>
    <col min="13" max="13" width="23.7109375" style="217" hidden="1" customWidth="1"/>
    <col min="14" max="14" width="23.7109375" style="67" hidden="1" customWidth="1"/>
    <col min="15" max="15" width="23.7109375" style="217" hidden="1" customWidth="1"/>
    <col min="16" max="17" width="20.7109375" style="26" customWidth="1"/>
    <col min="18" max="18" width="20.7109375" style="512" customWidth="1"/>
    <col min="19" max="19" width="19.7109375" style="26" hidden="1" customWidth="1"/>
    <col min="20" max="20" width="26" style="66" customWidth="1"/>
    <col min="21" max="22" width="14.42578125" style="66" customWidth="1"/>
    <col min="23" max="23" width="11.7109375" style="27" customWidth="1"/>
    <col min="24" max="24" width="3.85546875" style="27" customWidth="1"/>
    <col min="25" max="25" width="5.42578125" style="27" customWidth="1"/>
    <col min="26" max="49" width="11.42578125" style="27" customWidth="1"/>
    <col min="50" max="16384" width="11.42578125" style="27"/>
  </cols>
  <sheetData>
    <row r="1" spans="2:26" ht="12.75" customHeight="1" x14ac:dyDescent="0.2">
      <c r="L1" s="192"/>
    </row>
    <row r="2" spans="2:26" s="65" customFormat="1" ht="21" customHeight="1" x14ac:dyDescent="0.3">
      <c r="B2" s="1259" t="s">
        <v>1074</v>
      </c>
      <c r="C2" s="1259"/>
      <c r="D2" s="1259"/>
      <c r="E2" s="1259"/>
      <c r="F2" s="1259"/>
      <c r="G2" s="1259"/>
      <c r="H2" s="1259"/>
      <c r="I2" s="1259"/>
      <c r="J2" s="1259"/>
      <c r="K2" s="1259"/>
      <c r="L2" s="1259"/>
      <c r="M2" s="1259"/>
      <c r="N2" s="1259"/>
      <c r="O2" s="1259"/>
      <c r="P2" s="1259"/>
      <c r="Q2" s="1259"/>
      <c r="R2" s="1259"/>
      <c r="S2" s="79"/>
      <c r="T2" s="141"/>
      <c r="U2" s="141"/>
      <c r="V2" s="141"/>
    </row>
    <row r="3" spans="2:26" s="65" customFormat="1" ht="15" hidden="1" customHeight="1" thickBot="1" x14ac:dyDescent="0.35">
      <c r="B3" s="1266"/>
      <c r="C3" s="1266"/>
      <c r="D3" s="1266"/>
      <c r="E3" s="1266"/>
      <c r="F3" s="1266"/>
      <c r="G3" s="1266"/>
      <c r="H3" s="1266"/>
      <c r="I3" s="1266"/>
      <c r="J3" s="1266"/>
      <c r="K3" s="1266"/>
      <c r="L3" s="1266"/>
      <c r="M3" s="1266"/>
      <c r="N3" s="1266"/>
      <c r="O3" s="1266"/>
      <c r="P3" s="1266"/>
      <c r="Q3" s="1266"/>
      <c r="R3" s="1266"/>
      <c r="S3" s="79"/>
      <c r="T3" s="141"/>
      <c r="U3" s="141"/>
      <c r="V3" s="141"/>
    </row>
    <row r="4" spans="2:26" s="65" customFormat="1" ht="21" customHeight="1" x14ac:dyDescent="0.3">
      <c r="B4" s="1259" t="s">
        <v>609</v>
      </c>
      <c r="C4" s="1259"/>
      <c r="D4" s="1259"/>
      <c r="E4" s="1259"/>
      <c r="F4" s="1259"/>
      <c r="G4" s="1259"/>
      <c r="H4" s="1259"/>
      <c r="I4" s="1259"/>
      <c r="J4" s="1259"/>
      <c r="K4" s="1259"/>
      <c r="L4" s="1259"/>
      <c r="M4" s="1259"/>
      <c r="N4" s="1259"/>
      <c r="O4" s="1259"/>
      <c r="P4" s="1259"/>
      <c r="Q4" s="1259"/>
      <c r="R4" s="1259"/>
      <c r="S4" s="79"/>
      <c r="T4" s="141"/>
      <c r="U4" s="141"/>
      <c r="V4" s="141"/>
    </row>
    <row r="5" spans="2:26" ht="21.75" customHeight="1" x14ac:dyDescent="0.2">
      <c r="B5" s="1261" t="s">
        <v>276</v>
      </c>
      <c r="C5" s="1261"/>
      <c r="D5" s="1261"/>
      <c r="E5" s="1261"/>
      <c r="F5" s="1261"/>
      <c r="G5" s="1261"/>
      <c r="H5" s="1260" t="s">
        <v>878</v>
      </c>
      <c r="I5" s="1260"/>
      <c r="J5" s="1260"/>
      <c r="K5" s="1260"/>
      <c r="L5" s="1260"/>
      <c r="M5" s="1260"/>
      <c r="N5" s="1260"/>
      <c r="O5" s="1260"/>
      <c r="P5" s="1265" t="s">
        <v>785</v>
      </c>
      <c r="Q5" s="1265"/>
      <c r="R5" s="1265"/>
    </row>
    <row r="6" spans="2:26" ht="16.5" customHeight="1" x14ac:dyDescent="0.2">
      <c r="B6" s="1261"/>
      <c r="C6" s="1261"/>
      <c r="D6" s="1261"/>
      <c r="E6" s="1261"/>
      <c r="F6" s="1261"/>
      <c r="G6" s="1261"/>
      <c r="H6" s="815" t="s">
        <v>129</v>
      </c>
      <c r="I6" s="815" t="s">
        <v>130</v>
      </c>
      <c r="J6" s="815" t="s">
        <v>131</v>
      </c>
      <c r="K6" s="820" t="s">
        <v>132</v>
      </c>
      <c r="L6" s="833" t="s">
        <v>705</v>
      </c>
      <c r="M6" s="834" t="s">
        <v>940</v>
      </c>
      <c r="N6" s="833" t="s">
        <v>706</v>
      </c>
      <c r="O6" s="820" t="s">
        <v>941</v>
      </c>
      <c r="P6" s="816" t="s">
        <v>129</v>
      </c>
      <c r="Q6" s="816" t="s">
        <v>130</v>
      </c>
      <c r="R6" s="817" t="s">
        <v>133</v>
      </c>
    </row>
    <row r="7" spans="2:26" ht="56.25" customHeight="1" x14ac:dyDescent="0.2">
      <c r="B7" s="1261"/>
      <c r="C7" s="1261"/>
      <c r="D7" s="1261"/>
      <c r="E7" s="1261"/>
      <c r="F7" s="1261"/>
      <c r="G7" s="1261"/>
      <c r="H7" s="641" t="s">
        <v>1005</v>
      </c>
      <c r="I7" s="641" t="s">
        <v>1006</v>
      </c>
      <c r="J7" s="641" t="s">
        <v>1062</v>
      </c>
      <c r="K7" s="642" t="s">
        <v>1063</v>
      </c>
      <c r="L7" s="641" t="s">
        <v>718</v>
      </c>
      <c r="M7" s="642" t="s">
        <v>717</v>
      </c>
      <c r="N7" s="641" t="s">
        <v>715</v>
      </c>
      <c r="O7" s="642" t="s">
        <v>716</v>
      </c>
      <c r="P7" s="643" t="s">
        <v>1059</v>
      </c>
      <c r="Q7" s="643" t="s">
        <v>1060</v>
      </c>
      <c r="R7" s="644" t="s">
        <v>1061</v>
      </c>
    </row>
    <row r="8" spans="2:26" ht="69" hidden="1" customHeight="1" x14ac:dyDescent="0.2">
      <c r="B8" s="835" t="s">
        <v>739</v>
      </c>
      <c r="C8" s="836" t="s">
        <v>92</v>
      </c>
      <c r="D8" s="837" t="s">
        <v>93</v>
      </c>
      <c r="E8" s="837" t="s">
        <v>94</v>
      </c>
      <c r="F8" s="837" t="s">
        <v>284</v>
      </c>
      <c r="G8" s="835" t="s">
        <v>740</v>
      </c>
      <c r="H8" s="641" t="s">
        <v>1005</v>
      </c>
      <c r="I8" s="641" t="s">
        <v>1006</v>
      </c>
      <c r="J8" s="641" t="s">
        <v>1007</v>
      </c>
      <c r="K8" s="642" t="s">
        <v>1008</v>
      </c>
      <c r="L8" s="641" t="s">
        <v>718</v>
      </c>
      <c r="M8" s="642" t="s">
        <v>717</v>
      </c>
      <c r="N8" s="641" t="s">
        <v>715</v>
      </c>
      <c r="O8" s="642" t="s">
        <v>716</v>
      </c>
      <c r="P8" s="643" t="s">
        <v>1009</v>
      </c>
      <c r="Q8" s="643" t="s">
        <v>1010</v>
      </c>
      <c r="R8" s="644" t="s">
        <v>1011</v>
      </c>
      <c r="T8" s="143"/>
      <c r="U8" s="143"/>
      <c r="V8" s="143"/>
    </row>
    <row r="9" spans="2:26" ht="17.25" customHeight="1" x14ac:dyDescent="0.2">
      <c r="B9" s="838" t="s">
        <v>91</v>
      </c>
      <c r="C9" s="839" t="s">
        <v>92</v>
      </c>
      <c r="D9" s="840" t="s">
        <v>93</v>
      </c>
      <c r="E9" s="840" t="s">
        <v>94</v>
      </c>
      <c r="F9" s="840" t="s">
        <v>284</v>
      </c>
      <c r="G9" s="838" t="s">
        <v>146</v>
      </c>
      <c r="H9" s="841">
        <f>+H10+H80+H148+H153+H215+H224+H230+H231+H236+H302+H307</f>
        <v>431345319.19599998</v>
      </c>
      <c r="I9" s="841">
        <f>+I10+I80+I148+I153+I215+I224+I230+I231+I236+I302+I307</f>
        <v>374682003.19599998</v>
      </c>
      <c r="J9" s="841">
        <f ca="1">+J10+J80+J148+J153+J215+J224+J230+J231+J236+J302+J307</f>
        <v>67417152.464999989</v>
      </c>
      <c r="K9" s="842">
        <f ca="1">IFERROR(J9/I9,"0.00%")</f>
        <v>0.17993165374888154</v>
      </c>
      <c r="L9" s="843">
        <f>+L10+L80+L148+L153+L215+L224+L230+L231+L236+L302+L307</f>
        <v>71372009.155000001</v>
      </c>
      <c r="M9" s="844">
        <f>IFERROR(L9/I9,"0.00%")</f>
        <v>0.19048688900508673</v>
      </c>
      <c r="N9" s="845">
        <f>+N10+N80+N148+N153+N215+N224+N230+N231+N236+N302+N307</f>
        <v>297950522.04100001</v>
      </c>
      <c r="O9" s="842">
        <f>+N9/I9</f>
        <v>0.79520905594480618</v>
      </c>
      <c r="P9" s="841">
        <f>+P10+P80+P148+P153+P215++P224+P231+P236+P302+P307</f>
        <v>419435741.50080001</v>
      </c>
      <c r="Q9" s="841">
        <f ca="1">+Q10+Q80+Q153+Q215+Q224+Q230+Q236+Q231+Q302+Q307+Q148+Q222</f>
        <v>64964425.420071997</v>
      </c>
      <c r="R9" s="842">
        <f ca="1">IFERROR(Q9/P9,"0.00%")</f>
        <v>0.1548852875237102</v>
      </c>
      <c r="S9" s="80"/>
      <c r="T9" s="188"/>
    </row>
    <row r="10" spans="2:26" ht="15.75" customHeight="1" x14ac:dyDescent="0.25">
      <c r="B10" s="586" t="s">
        <v>153</v>
      </c>
      <c r="C10" s="32"/>
      <c r="D10" s="33"/>
      <c r="E10" s="34"/>
      <c r="F10" s="34"/>
      <c r="G10" s="587" t="s">
        <v>16</v>
      </c>
      <c r="H10" s="35">
        <f>+H11+H42+H73</f>
        <v>20227650.999999996</v>
      </c>
      <c r="I10" s="35">
        <f>+I11+I42+I73</f>
        <v>19823097.999999996</v>
      </c>
      <c r="J10" s="35">
        <f ca="1">+J11+J42+J73</f>
        <v>2700922.9169999999</v>
      </c>
      <c r="K10" s="334">
        <f ca="1">IFERROR(J10/I10,"0.00%")</f>
        <v>0.13625130224347376</v>
      </c>
      <c r="L10" s="193">
        <f>+L11+L42+L73</f>
        <v>2700922.9169999999</v>
      </c>
      <c r="M10" s="334">
        <f>+IFERROR(L10/I10,0)</f>
        <v>0.13625130224347376</v>
      </c>
      <c r="N10" s="414">
        <f>+N11+N42+N73</f>
        <v>17122175.082999997</v>
      </c>
      <c r="O10" s="334">
        <f>+IFERROR(N10/I10,0)</f>
        <v>0.8637486977565263</v>
      </c>
      <c r="P10" s="35">
        <f>+P11+P42+P73</f>
        <v>19860541.882000003</v>
      </c>
      <c r="Q10" s="35">
        <f ca="1">+Q11+Q42+Q73</f>
        <v>2669029.993460001</v>
      </c>
      <c r="R10" s="334">
        <f ca="1">IFERROR(Q10/P10,"0.00%")</f>
        <v>0.13438857858551156</v>
      </c>
      <c r="T10" s="122"/>
      <c r="U10" s="122"/>
      <c r="V10" s="144"/>
      <c r="W10" s="138"/>
      <c r="X10" s="138"/>
      <c r="Y10" s="138"/>
      <c r="Z10" s="142"/>
    </row>
    <row r="11" spans="2:26" ht="15.75" hidden="1" customHeight="1" outlineLevel="1" x14ac:dyDescent="0.25">
      <c r="B11" s="586"/>
      <c r="C11" s="32" t="s">
        <v>155</v>
      </c>
      <c r="D11" s="33"/>
      <c r="E11" s="34"/>
      <c r="F11" s="34"/>
      <c r="G11" s="587" t="s">
        <v>17</v>
      </c>
      <c r="H11" s="35">
        <f>+H12+H26+H29+H33+H38</f>
        <v>803888.11199999996</v>
      </c>
      <c r="I11" s="35">
        <f>+I12+I26+I29+I33+I38</f>
        <v>803888.11199999996</v>
      </c>
      <c r="J11" s="35">
        <f ca="1">+J12+J26+J29+J33+J38</f>
        <v>98376.553</v>
      </c>
      <c r="K11" s="334">
        <f t="shared" ref="K11:K74" ca="1" si="0">IFERROR(J11/I11,"0.00%")</f>
        <v>0.1223759271116078</v>
      </c>
      <c r="L11" s="193">
        <f>+L12+L26+L29+L33+L38</f>
        <v>98376.553</v>
      </c>
      <c r="M11" s="334">
        <f t="shared" ref="M11:M74" si="1">+IFERROR(L11/I11,0)</f>
        <v>0.1223759271116078</v>
      </c>
      <c r="N11" s="414">
        <f>+N12+N26+N29+N33+N38</f>
        <v>705511.55900000001</v>
      </c>
      <c r="O11" s="334">
        <f t="shared" ref="O11:O74" si="2">+IFERROR(N11/I11,0)</f>
        <v>0.87762407288839228</v>
      </c>
      <c r="P11" s="35">
        <f>+P12+P26+P29+P33+P38</f>
        <v>1024018.7270000001</v>
      </c>
      <c r="Q11" s="35">
        <f ca="1">+Q12+Q26+Q29+Q33+Q38</f>
        <v>127722.65609199999</v>
      </c>
      <c r="R11" s="334">
        <f t="shared" ref="R11:R72" ca="1" si="3">IFERROR(Q11/P11,"0.00%")</f>
        <v>0.1247268753240291</v>
      </c>
      <c r="T11" s="122"/>
      <c r="U11" s="122"/>
      <c r="V11" s="144"/>
      <c r="W11" s="138"/>
      <c r="X11" s="138"/>
      <c r="Y11" s="138"/>
      <c r="Z11" s="142"/>
    </row>
    <row r="12" spans="2:26" ht="15" hidden="1" customHeight="1" outlineLevel="2" x14ac:dyDescent="0.25">
      <c r="B12" s="586"/>
      <c r="C12" s="32"/>
      <c r="D12" s="33" t="s">
        <v>154</v>
      </c>
      <c r="E12" s="34"/>
      <c r="F12" s="34"/>
      <c r="G12" s="587" t="s">
        <v>18</v>
      </c>
      <c r="H12" s="35">
        <f>SUM(H13:H25)</f>
        <v>628990.02500000002</v>
      </c>
      <c r="I12" s="35">
        <f>SUM(I13:I25)</f>
        <v>628990.02500000002</v>
      </c>
      <c r="J12" s="35">
        <f ca="1">SUM(J13:J25)</f>
        <v>81575.12000000001</v>
      </c>
      <c r="K12" s="334">
        <f t="shared" ca="1" si="0"/>
        <v>0.1296922316057397</v>
      </c>
      <c r="L12" s="35">
        <f t="shared" ref="L12:N12" si="4">SUM(L13:L25)</f>
        <v>81575.12000000001</v>
      </c>
      <c r="M12" s="334">
        <f t="shared" si="1"/>
        <v>0.1296922316057397</v>
      </c>
      <c r="N12" s="35">
        <f t="shared" si="4"/>
        <v>547414.90500000003</v>
      </c>
      <c r="O12" s="334">
        <f t="shared" si="2"/>
        <v>0.87030776839426027</v>
      </c>
      <c r="P12" s="35">
        <f>SUM(P13:P25)</f>
        <v>718969.58000000007</v>
      </c>
      <c r="Q12" s="35">
        <f>SUM(Q13:Q25)</f>
        <v>105570.508214</v>
      </c>
      <c r="R12" s="334">
        <f t="shared" si="3"/>
        <v>0.14683584834562818</v>
      </c>
      <c r="T12" s="122"/>
      <c r="U12" s="122"/>
      <c r="V12" s="144"/>
      <c r="W12" s="138"/>
      <c r="X12" s="138"/>
      <c r="Y12" s="138"/>
      <c r="Z12" s="142"/>
    </row>
    <row r="13" spans="2:26" ht="15" hidden="1" customHeight="1" outlineLevel="3" x14ac:dyDescent="0.25">
      <c r="B13" s="586"/>
      <c r="C13" s="32"/>
      <c r="D13" s="33"/>
      <c r="E13" s="34">
        <v>1</v>
      </c>
      <c r="F13" s="34" t="str">
        <f>+CONCATENATE($B$10,"",$C$11,"",$D$12,"00",E13)</f>
        <v>21.01.001.001</v>
      </c>
      <c r="G13" s="588" t="s">
        <v>123</v>
      </c>
      <c r="H13" s="35">
        <f>+VLOOKUP(F13,matriz01,3,FALSE)</f>
        <v>116011.474</v>
      </c>
      <c r="I13" s="35">
        <f>+VLOOKUP($F$13,matriz01,4,FALSE)</f>
        <v>116011.474</v>
      </c>
      <c r="J13" s="35">
        <f>+VLOOKUP(F13,matriz01,5,FALSE)</f>
        <v>16600.356</v>
      </c>
      <c r="K13" s="334">
        <f t="shared" si="0"/>
        <v>0.14309236343294801</v>
      </c>
      <c r="L13" s="193">
        <f>INDEX(coincidenciaP01,MATCH(F13,indicep01,0),7)</f>
        <v>16600.356</v>
      </c>
      <c r="M13" s="334">
        <f t="shared" si="1"/>
        <v>0.14309236343294801</v>
      </c>
      <c r="N13" s="414">
        <f>INDEX(coincidenciaP01,MATCH(F13,indicep01,0),9)</f>
        <v>99411.118000000002</v>
      </c>
      <c r="O13" s="334">
        <f t="shared" si="2"/>
        <v>0.85690763656705193</v>
      </c>
      <c r="P13" s="35">
        <f>+'Prog 01'!Q13</f>
        <v>160613.88</v>
      </c>
      <c r="Q13" s="35">
        <f>+'Prog 01'!R13</f>
        <v>22434.928963999999</v>
      </c>
      <c r="R13" s="334">
        <f t="shared" si="3"/>
        <v>0.13968237965485922</v>
      </c>
      <c r="T13" s="122"/>
      <c r="U13" s="122"/>
      <c r="V13" s="144"/>
      <c r="W13" s="138"/>
      <c r="X13" s="138"/>
      <c r="Y13" s="138"/>
      <c r="Z13" s="142"/>
    </row>
    <row r="14" spans="2:26" ht="15" hidden="1" customHeight="1" outlineLevel="3" x14ac:dyDescent="0.25">
      <c r="B14" s="586"/>
      <c r="C14" s="32"/>
      <c r="D14" s="33"/>
      <c r="E14" s="34">
        <v>2</v>
      </c>
      <c r="F14" s="34" t="str">
        <f>+CONCATENATE($B$10,"",$C$11,"",$D$12,"00",E14)</f>
        <v>21.01.001.002</v>
      </c>
      <c r="G14" s="588" t="s">
        <v>19</v>
      </c>
      <c r="H14" s="35">
        <f t="shared" ref="H14:H23" si="5">+VLOOKUP(F14,matriz01,3,FALSE)</f>
        <v>16073.669</v>
      </c>
      <c r="I14" s="35">
        <f t="shared" ref="I14:I21" si="6">+VLOOKUP(F14,matriz01,4,FALSE)</f>
        <v>16073.669</v>
      </c>
      <c r="J14" s="35">
        <f t="shared" ref="J14:J23" ca="1" si="7">+VLOOKUP(F14,matriz01,5,FALSE)</f>
        <v>2131.1280000000002</v>
      </c>
      <c r="K14" s="334">
        <f t="shared" ca="1" si="0"/>
        <v>0.13258503705656749</v>
      </c>
      <c r="L14" s="193">
        <f t="shared" ref="L14:L24" si="8">INDEX(coincidenciaP01,MATCH(F14,indicep01,0),7)</f>
        <v>2131.1280000000002</v>
      </c>
      <c r="M14" s="334">
        <f t="shared" si="1"/>
        <v>0.13258503705656749</v>
      </c>
      <c r="N14" s="414">
        <f>INDEX(coincidenciaP01,MATCH(F14,indicep01,0),9)</f>
        <v>13942.540999999999</v>
      </c>
      <c r="O14" s="334">
        <f t="shared" si="2"/>
        <v>0.86741496294343245</v>
      </c>
      <c r="P14" s="35">
        <f>+'Prog 01'!Q14</f>
        <v>17297.2</v>
      </c>
      <c r="Q14" s="35">
        <f>+'Prog 01'!R14</f>
        <v>3119.6448420000006</v>
      </c>
      <c r="R14" s="334">
        <f t="shared" si="3"/>
        <v>0.18035548192771086</v>
      </c>
      <c r="T14" s="122"/>
      <c r="U14" s="122"/>
      <c r="V14" s="144"/>
      <c r="W14" s="138"/>
      <c r="X14" s="138"/>
      <c r="Y14" s="138"/>
      <c r="Z14" s="142"/>
    </row>
    <row r="15" spans="2:26" ht="15" hidden="1" customHeight="1" outlineLevel="3" x14ac:dyDescent="0.25">
      <c r="B15" s="586"/>
      <c r="C15" s="32"/>
      <c r="D15" s="33"/>
      <c r="E15" s="34">
        <v>3</v>
      </c>
      <c r="F15" s="34" t="str">
        <f>+CONCATENATE($B$10,"",$C$11,"",$D$12,"00",E15)</f>
        <v>21.01.001.003</v>
      </c>
      <c r="G15" s="588" t="s">
        <v>20</v>
      </c>
      <c r="H15" s="35">
        <f t="shared" si="5"/>
        <v>85149.134999999995</v>
      </c>
      <c r="I15" s="35">
        <f t="shared" si="6"/>
        <v>85149.134999999995</v>
      </c>
      <c r="J15" s="35">
        <f t="shared" ca="1" si="7"/>
        <v>12323.378000000001</v>
      </c>
      <c r="K15" s="334">
        <f t="shared" ca="1" si="0"/>
        <v>0.14472698988662658</v>
      </c>
      <c r="L15" s="193">
        <f>INDEX(coincidenciaP01,MATCH(F15,indicep01,0),7)</f>
        <v>12323.378000000001</v>
      </c>
      <c r="M15" s="334">
        <f t="shared" si="1"/>
        <v>0.14472698988662658</v>
      </c>
      <c r="N15" s="414">
        <f t="shared" ref="N15:N23" si="9">INDEX(coincidenciaP01,MATCH(F15,indicep01,0),9)</f>
        <v>72825.756999999998</v>
      </c>
      <c r="O15" s="334">
        <f t="shared" si="2"/>
        <v>0.85527301011337342</v>
      </c>
      <c r="P15" s="35">
        <f>+'Prog 01'!Q15</f>
        <v>91977.34</v>
      </c>
      <c r="Q15" s="35">
        <f>+'Prog 01'!R15</f>
        <v>16270.352763999999</v>
      </c>
      <c r="R15" s="334">
        <f t="shared" si="3"/>
        <v>0.17689523054265321</v>
      </c>
      <c r="T15" s="122"/>
      <c r="U15" s="122"/>
      <c r="V15" s="144"/>
      <c r="W15" s="138"/>
      <c r="X15" s="138"/>
      <c r="Y15" s="138"/>
      <c r="Z15" s="142"/>
    </row>
    <row r="16" spans="2:26" ht="15" hidden="1" customHeight="1" outlineLevel="3" x14ac:dyDescent="0.25">
      <c r="B16" s="586"/>
      <c r="C16" s="32"/>
      <c r="D16" s="33"/>
      <c r="E16" s="34">
        <v>4</v>
      </c>
      <c r="F16" s="34" t="str">
        <f>+CONCATENATE($B$10,"",$C$11,"",$D$12,"00",E16)</f>
        <v>21.01.001.004</v>
      </c>
      <c r="G16" s="588" t="s">
        <v>21</v>
      </c>
      <c r="H16" s="35">
        <f>+VLOOKUP(F16,matriz01,3,FALSE)</f>
        <v>163.035</v>
      </c>
      <c r="I16" s="35">
        <f>+VLOOKUP(F16,matriz01,4,FALSE)</f>
        <v>163.035</v>
      </c>
      <c r="J16" s="35">
        <f ca="1">+VLOOKUP(F16,matriz01,5,FALSE)</f>
        <v>0</v>
      </c>
      <c r="K16" s="334">
        <f t="shared" ca="1" si="0"/>
        <v>0</v>
      </c>
      <c r="L16" s="193">
        <f>INDEX(coincidenciaP01,MATCH(F16,indicep01,0),7)</f>
        <v>0</v>
      </c>
      <c r="M16" s="334">
        <f t="shared" si="1"/>
        <v>0</v>
      </c>
      <c r="N16" s="414">
        <f>INDEX(coincidenciaP01,MATCH(F16,indicep01,0),9)</f>
        <v>163.035</v>
      </c>
      <c r="O16" s="334">
        <f t="shared" si="2"/>
        <v>1</v>
      </c>
      <c r="P16" s="35">
        <v>0</v>
      </c>
      <c r="Q16" s="35">
        <v>0</v>
      </c>
      <c r="R16" s="334" t="str">
        <f t="shared" si="3"/>
        <v>0.00%</v>
      </c>
      <c r="T16" s="122"/>
      <c r="U16" s="122"/>
      <c r="V16" s="144"/>
      <c r="W16" s="138"/>
      <c r="X16" s="138"/>
      <c r="Y16" s="138"/>
      <c r="Z16" s="142"/>
    </row>
    <row r="17" spans="2:26" ht="15" hidden="1" customHeight="1" outlineLevel="3" x14ac:dyDescent="0.25">
      <c r="B17" s="586"/>
      <c r="C17" s="32"/>
      <c r="D17" s="33"/>
      <c r="E17" s="34">
        <v>7</v>
      </c>
      <c r="F17" s="34" t="str">
        <f>+CONCATENATE($B$10,"",$C$11,"",$D$12,"00",E17)</f>
        <v>21.01.001.007</v>
      </c>
      <c r="G17" s="588" t="s">
        <v>128</v>
      </c>
      <c r="H17" s="35">
        <f>+VLOOKUP(F17,matriz01,3,FALSE)</f>
        <v>9786.4390000000003</v>
      </c>
      <c r="I17" s="35">
        <f>+VLOOKUP(F17,matriz01,4,FALSE)</f>
        <v>9786.4390000000003</v>
      </c>
      <c r="J17" s="35">
        <f ca="1">+VLOOKUP(F17,matriz01,5,FALSE)</f>
        <v>1701.01</v>
      </c>
      <c r="K17" s="334">
        <f t="shared" ca="1" si="0"/>
        <v>0.17381296710683017</v>
      </c>
      <c r="L17" s="193">
        <f t="shared" si="8"/>
        <v>1701.01</v>
      </c>
      <c r="M17" s="334">
        <f t="shared" si="1"/>
        <v>0.17381296710683017</v>
      </c>
      <c r="N17" s="414">
        <f t="shared" si="9"/>
        <v>8085.4290000000001</v>
      </c>
      <c r="O17" s="334">
        <f t="shared" si="2"/>
        <v>0.82618703289316986</v>
      </c>
      <c r="P17" s="35">
        <f>+'Prog 01'!Q17</f>
        <v>10034.460000000001</v>
      </c>
      <c r="Q17" s="35">
        <f>+'Prog 01'!R17</f>
        <v>1691.962088</v>
      </c>
      <c r="R17" s="334">
        <f t="shared" si="3"/>
        <v>0.16861516095534784</v>
      </c>
      <c r="T17" s="122"/>
      <c r="U17" s="122"/>
      <c r="V17" s="144"/>
      <c r="W17" s="138"/>
      <c r="X17" s="138"/>
      <c r="Y17" s="138"/>
      <c r="Z17" s="142"/>
    </row>
    <row r="18" spans="2:26" ht="15" hidden="1" customHeight="1" outlineLevel="3" x14ac:dyDescent="0.25">
      <c r="B18" s="586"/>
      <c r="C18" s="32"/>
      <c r="D18" s="33"/>
      <c r="E18" s="34">
        <v>12</v>
      </c>
      <c r="F18" s="34" t="str">
        <f t="shared" ref="F18:F25" si="10">+CONCATENATE($B$10,"",$C$11,"",$D$12,"0",E18)</f>
        <v>21.01.001.012</v>
      </c>
      <c r="G18" s="588" t="s">
        <v>22</v>
      </c>
      <c r="H18" s="35">
        <f t="shared" si="5"/>
        <v>2224.8789999999999</v>
      </c>
      <c r="I18" s="35">
        <f t="shared" si="6"/>
        <v>2224.8789999999999</v>
      </c>
      <c r="J18" s="35">
        <f t="shared" ca="1" si="7"/>
        <v>371.97</v>
      </c>
      <c r="K18" s="334">
        <f t="shared" ca="1" si="0"/>
        <v>0.16718662003641549</v>
      </c>
      <c r="L18" s="193">
        <f t="shared" si="8"/>
        <v>371.97</v>
      </c>
      <c r="M18" s="334">
        <f t="shared" si="1"/>
        <v>0.16718662003641549</v>
      </c>
      <c r="N18" s="414">
        <f t="shared" si="9"/>
        <v>1852.9089999999999</v>
      </c>
      <c r="O18" s="334">
        <f t="shared" si="2"/>
        <v>0.83281337996358451</v>
      </c>
      <c r="P18" s="35">
        <f>+'Prog 01'!Q18</f>
        <v>2292.4</v>
      </c>
      <c r="Q18" s="35">
        <f>+'Prog 01'!R18</f>
        <v>387.59274000000005</v>
      </c>
      <c r="R18" s="334">
        <f t="shared" si="3"/>
        <v>0.16907727272727274</v>
      </c>
      <c r="T18" s="122"/>
      <c r="U18" s="122"/>
      <c r="V18" s="144"/>
      <c r="W18" s="138"/>
      <c r="X18" s="138"/>
      <c r="Y18" s="138"/>
      <c r="Z18" s="142"/>
    </row>
    <row r="19" spans="2:26" ht="15" hidden="1" customHeight="1" outlineLevel="3" x14ac:dyDescent="0.25">
      <c r="B19" s="586"/>
      <c r="C19" s="32"/>
      <c r="D19" s="33"/>
      <c r="E19" s="34">
        <v>13</v>
      </c>
      <c r="F19" s="34" t="str">
        <f t="shared" si="10"/>
        <v>21.01.001.013</v>
      </c>
      <c r="G19" s="588" t="s">
        <v>23</v>
      </c>
      <c r="H19" s="35">
        <f t="shared" si="5"/>
        <v>53254.192000000003</v>
      </c>
      <c r="I19" s="35">
        <f t="shared" si="6"/>
        <v>53254.192000000003</v>
      </c>
      <c r="J19" s="35">
        <f t="shared" ca="1" si="7"/>
        <v>7738.2860000000001</v>
      </c>
      <c r="K19" s="334">
        <f t="shared" ca="1" si="0"/>
        <v>0.14530848576202227</v>
      </c>
      <c r="L19" s="193">
        <f t="shared" si="8"/>
        <v>7738.2860000000001</v>
      </c>
      <c r="M19" s="334">
        <f t="shared" si="1"/>
        <v>0.14530848576202227</v>
      </c>
      <c r="N19" s="414">
        <f>INDEX(coincidenciaP01,MATCH(F19,indicep01,0),9)</f>
        <v>45515.906000000003</v>
      </c>
      <c r="O19" s="334">
        <f t="shared" si="2"/>
        <v>0.85469151423797773</v>
      </c>
      <c r="P19" s="35">
        <f>+'Prog 01'!Q19</f>
        <v>54163.16</v>
      </c>
      <c r="Q19" s="35">
        <f>+'Prog 01'!R19</f>
        <v>8028.2411320000001</v>
      </c>
      <c r="R19" s="334">
        <f t="shared" si="3"/>
        <v>0.1482232781839169</v>
      </c>
      <c r="T19" s="122"/>
      <c r="U19" s="122"/>
      <c r="V19" s="144"/>
      <c r="W19" s="138"/>
      <c r="X19" s="138"/>
      <c r="Y19" s="138"/>
      <c r="Z19" s="142"/>
    </row>
    <row r="20" spans="2:26" ht="15" hidden="1" customHeight="1" outlineLevel="3" x14ac:dyDescent="0.25">
      <c r="B20" s="586"/>
      <c r="C20" s="32"/>
      <c r="D20" s="33"/>
      <c r="E20" s="34">
        <v>14</v>
      </c>
      <c r="F20" s="34" t="str">
        <f t="shared" si="10"/>
        <v>21.01.001.014</v>
      </c>
      <c r="G20" s="588" t="s">
        <v>24</v>
      </c>
      <c r="H20" s="35">
        <f t="shared" si="5"/>
        <v>78237.198999999993</v>
      </c>
      <c r="I20" s="35">
        <f t="shared" si="6"/>
        <v>78237.198999999993</v>
      </c>
      <c r="J20" s="35">
        <f t="shared" ca="1" si="7"/>
        <v>10732.698</v>
      </c>
      <c r="K20" s="334">
        <f t="shared" ca="1" si="0"/>
        <v>0.13718152154194582</v>
      </c>
      <c r="L20" s="193">
        <f t="shared" si="8"/>
        <v>10732.698</v>
      </c>
      <c r="M20" s="334">
        <f t="shared" si="1"/>
        <v>0.13718152154194582</v>
      </c>
      <c r="N20" s="414">
        <f t="shared" si="9"/>
        <v>67504.500999999989</v>
      </c>
      <c r="O20" s="334">
        <f t="shared" si="2"/>
        <v>0.86281847845805415</v>
      </c>
      <c r="P20" s="35">
        <f>+'Prog 01'!Q20</f>
        <v>83016.14</v>
      </c>
      <c r="Q20" s="35">
        <f>+'Prog 01'!R20</f>
        <v>14523.095904000002</v>
      </c>
      <c r="R20" s="334">
        <f t="shared" si="3"/>
        <v>0.1749430400401657</v>
      </c>
      <c r="T20" s="122"/>
      <c r="U20" s="122"/>
      <c r="V20" s="144"/>
      <c r="W20" s="138"/>
      <c r="X20" s="138"/>
      <c r="Y20" s="138"/>
      <c r="Z20" s="142"/>
    </row>
    <row r="21" spans="2:26" ht="15" hidden="1" customHeight="1" outlineLevel="3" x14ac:dyDescent="0.25">
      <c r="B21" s="586"/>
      <c r="C21" s="32"/>
      <c r="D21" s="33"/>
      <c r="E21" s="34">
        <v>15</v>
      </c>
      <c r="F21" s="34" t="str">
        <f t="shared" si="10"/>
        <v>21.01.001.015</v>
      </c>
      <c r="G21" s="588" t="s">
        <v>25</v>
      </c>
      <c r="H21" s="35">
        <f t="shared" si="5"/>
        <v>193572.617</v>
      </c>
      <c r="I21" s="35">
        <f t="shared" si="6"/>
        <v>193572.617</v>
      </c>
      <c r="J21" s="35">
        <f t="shared" ca="1" si="7"/>
        <v>27884.982</v>
      </c>
      <c r="K21" s="334">
        <f t="shared" ca="1" si="0"/>
        <v>0.14405437314514377</v>
      </c>
      <c r="L21" s="193">
        <f t="shared" si="8"/>
        <v>27884.982</v>
      </c>
      <c r="M21" s="334">
        <f t="shared" si="1"/>
        <v>0.14405437314514377</v>
      </c>
      <c r="N21" s="414">
        <f t="shared" si="9"/>
        <v>165687.63500000001</v>
      </c>
      <c r="O21" s="334">
        <f t="shared" si="2"/>
        <v>0.85594562685485631</v>
      </c>
      <c r="P21" s="35">
        <f>+'Prog 01'!Q21</f>
        <v>204065.28</v>
      </c>
      <c r="Q21" s="35">
        <f>+'Prog 01'!R21</f>
        <v>37034.505583999999</v>
      </c>
      <c r="R21" s="334">
        <f t="shared" si="3"/>
        <v>0.18148361928104575</v>
      </c>
      <c r="T21" s="122"/>
      <c r="U21" s="122"/>
      <c r="V21" s="144"/>
      <c r="W21" s="138"/>
      <c r="X21" s="138"/>
      <c r="Y21" s="138"/>
      <c r="Z21" s="142"/>
    </row>
    <row r="22" spans="2:26" ht="15" hidden="1" customHeight="1" outlineLevel="3" x14ac:dyDescent="0.25">
      <c r="B22" s="586"/>
      <c r="C22" s="32"/>
      <c r="D22" s="33"/>
      <c r="E22" s="34">
        <v>22</v>
      </c>
      <c r="F22" s="34" t="str">
        <f t="shared" si="10"/>
        <v>21.01.001.022</v>
      </c>
      <c r="G22" s="588" t="s">
        <v>26</v>
      </c>
      <c r="H22" s="35">
        <f t="shared" si="5"/>
        <v>62483.360999999997</v>
      </c>
      <c r="I22" s="35">
        <f>+VLOOKUP(F22,matriz01,4,FALSE)</f>
        <v>62483.360999999997</v>
      </c>
      <c r="J22" s="35">
        <f t="shared" ca="1" si="7"/>
        <v>0</v>
      </c>
      <c r="K22" s="334">
        <f t="shared" ca="1" si="0"/>
        <v>0</v>
      </c>
      <c r="L22" s="193">
        <f t="shared" si="8"/>
        <v>0</v>
      </c>
      <c r="M22" s="334">
        <f t="shared" si="1"/>
        <v>0</v>
      </c>
      <c r="N22" s="414">
        <f t="shared" si="9"/>
        <v>62483.360999999997</v>
      </c>
      <c r="O22" s="334">
        <f t="shared" si="2"/>
        <v>1</v>
      </c>
      <c r="P22" s="35">
        <f>+'Prog 01'!Q22</f>
        <v>65781.460000000006</v>
      </c>
      <c r="Q22" s="35">
        <f>+'Prog 01'!R22</f>
        <v>0</v>
      </c>
      <c r="R22" s="334">
        <f t="shared" si="3"/>
        <v>0</v>
      </c>
      <c r="T22" s="122"/>
      <c r="U22" s="122"/>
      <c r="V22" s="144"/>
      <c r="W22" s="138"/>
      <c r="X22" s="138"/>
      <c r="Y22" s="138"/>
      <c r="Z22" s="142"/>
    </row>
    <row r="23" spans="2:26" ht="15" hidden="1" customHeight="1" outlineLevel="3" x14ac:dyDescent="0.25">
      <c r="B23" s="586"/>
      <c r="C23" s="32"/>
      <c r="D23" s="33"/>
      <c r="E23" s="34">
        <v>39</v>
      </c>
      <c r="F23" s="34" t="str">
        <f t="shared" si="10"/>
        <v>21.01.001.039</v>
      </c>
      <c r="G23" s="588" t="s">
        <v>27</v>
      </c>
      <c r="H23" s="35">
        <f t="shared" si="5"/>
        <v>12034.025</v>
      </c>
      <c r="I23" s="35">
        <f>+VLOOKUP(F23,matriz01,4,FALSE)</f>
        <v>12034.025</v>
      </c>
      <c r="J23" s="35">
        <f t="shared" ca="1" si="7"/>
        <v>2091.3119999999999</v>
      </c>
      <c r="K23" s="334">
        <f t="shared" ca="1" si="0"/>
        <v>0.17378325207069123</v>
      </c>
      <c r="L23" s="193">
        <f t="shared" si="8"/>
        <v>2091.3119999999999</v>
      </c>
      <c r="M23" s="334">
        <f t="shared" si="1"/>
        <v>0.17378325207069123</v>
      </c>
      <c r="N23" s="414">
        <f t="shared" si="9"/>
        <v>9942.7129999999997</v>
      </c>
      <c r="O23" s="334">
        <f t="shared" si="2"/>
        <v>0.82621674792930877</v>
      </c>
      <c r="P23" s="35">
        <f>+'Prog 01'!Q23</f>
        <v>11649.560000000001</v>
      </c>
      <c r="Q23" s="35">
        <f>+'Prog 01'!R23</f>
        <v>2080.1841960000002</v>
      </c>
      <c r="R23" s="334">
        <f t="shared" si="3"/>
        <v>0.17856332737030411</v>
      </c>
      <c r="T23" s="122"/>
      <c r="U23" s="122"/>
      <c r="V23" s="144"/>
      <c r="W23" s="138"/>
      <c r="X23" s="138"/>
      <c r="Y23" s="138"/>
      <c r="Z23" s="142"/>
    </row>
    <row r="24" spans="2:26" ht="15" hidden="1" customHeight="1" outlineLevel="3" x14ac:dyDescent="0.25">
      <c r="B24" s="586"/>
      <c r="C24" s="32"/>
      <c r="D24" s="33"/>
      <c r="E24" s="34">
        <v>998</v>
      </c>
      <c r="F24" s="34" t="str">
        <f t="shared" si="10"/>
        <v>21.01.001.0998</v>
      </c>
      <c r="G24" s="588" t="s">
        <v>832</v>
      </c>
      <c r="H24" s="35">
        <f>+'Prog 01'!I24</f>
        <v>0</v>
      </c>
      <c r="I24" s="35">
        <f>+VLOOKUP(F24,matriz01,4,FALSE)</f>
        <v>0</v>
      </c>
      <c r="J24" s="35">
        <f ca="1">+'Prog 01'!K24</f>
        <v>0</v>
      </c>
      <c r="K24" s="334" t="str">
        <f t="shared" ca="1" si="0"/>
        <v>0.00%</v>
      </c>
      <c r="L24" s="193">
        <f t="shared" si="8"/>
        <v>0</v>
      </c>
      <c r="M24" s="334">
        <f t="shared" si="1"/>
        <v>0</v>
      </c>
      <c r="N24" s="35">
        <f>+'Prog 01'!O24</f>
        <v>0</v>
      </c>
      <c r="O24" s="334">
        <f t="shared" si="2"/>
        <v>0</v>
      </c>
      <c r="P24" s="35">
        <f>+'Prog 01'!Q24</f>
        <v>18078.7</v>
      </c>
      <c r="Q24" s="35">
        <f>+'Prog 01'!R24</f>
        <v>0</v>
      </c>
      <c r="R24" s="334">
        <f t="shared" si="3"/>
        <v>0</v>
      </c>
      <c r="T24" s="122"/>
      <c r="U24" s="122"/>
      <c r="V24" s="144"/>
      <c r="W24" s="138"/>
      <c r="X24" s="138"/>
      <c r="Y24" s="138"/>
      <c r="Z24" s="142"/>
    </row>
    <row r="25" spans="2:26" ht="15" hidden="1" customHeight="1" outlineLevel="3" x14ac:dyDescent="0.25">
      <c r="B25" s="586"/>
      <c r="C25" s="32"/>
      <c r="D25" s="33"/>
      <c r="E25" s="34">
        <v>999</v>
      </c>
      <c r="F25" s="34" t="str">
        <f t="shared" si="10"/>
        <v>21.01.001.0999</v>
      </c>
      <c r="G25" s="588" t="s">
        <v>775</v>
      </c>
      <c r="H25" s="35">
        <v>0</v>
      </c>
      <c r="I25" s="35">
        <f>+VLOOKUP(F25,matriz01,4,FALSE)</f>
        <v>0</v>
      </c>
      <c r="J25" s="35">
        <f ca="1">+VLOOKUP(F25,matriz01,5,FALSE)</f>
        <v>0</v>
      </c>
      <c r="K25" s="334" t="str">
        <f t="shared" ca="1" si="0"/>
        <v>0.00%</v>
      </c>
      <c r="L25" s="193">
        <f>+'Prog 01'!M25</f>
        <v>0</v>
      </c>
      <c r="M25" s="334">
        <f t="shared" si="1"/>
        <v>0</v>
      </c>
      <c r="N25" s="436">
        <f>+'Prog 01'!O25</f>
        <v>0</v>
      </c>
      <c r="O25" s="334">
        <f t="shared" si="2"/>
        <v>0</v>
      </c>
      <c r="P25" s="35">
        <f>+'Prog 01'!Q25</f>
        <v>0</v>
      </c>
      <c r="Q25" s="35">
        <f>+'Prog 01'!R25</f>
        <v>0</v>
      </c>
      <c r="R25" s="334" t="str">
        <f t="shared" si="3"/>
        <v>0.00%</v>
      </c>
      <c r="T25" s="122"/>
      <c r="U25" s="122"/>
      <c r="V25" s="144"/>
      <c r="W25" s="138"/>
      <c r="X25" s="138"/>
      <c r="Y25" s="138"/>
      <c r="Z25" s="142"/>
    </row>
    <row r="26" spans="2:26" s="58" customFormat="1" ht="15" hidden="1" customHeight="1" outlineLevel="2" x14ac:dyDescent="0.25">
      <c r="B26" s="586"/>
      <c r="C26" s="32"/>
      <c r="D26" s="33" t="s">
        <v>156</v>
      </c>
      <c r="E26" s="34"/>
      <c r="F26" s="34"/>
      <c r="G26" s="587" t="s">
        <v>28</v>
      </c>
      <c r="H26" s="35">
        <f>SUM(H27:H28)</f>
        <v>19540.34</v>
      </c>
      <c r="I26" s="35">
        <f>SUM(I27:I28)</f>
        <v>19540.34</v>
      </c>
      <c r="J26" s="35">
        <f ca="1">SUM(J27:J28)</f>
        <v>2438.2159999999999</v>
      </c>
      <c r="K26" s="334">
        <f t="shared" ca="1" si="0"/>
        <v>0.12477858624773161</v>
      </c>
      <c r="L26" s="193">
        <f>SUM(L27:L28)</f>
        <v>2438.2159999999999</v>
      </c>
      <c r="M26" s="334">
        <f t="shared" si="1"/>
        <v>0.12477858624773161</v>
      </c>
      <c r="N26" s="414">
        <f>SUM(N27:N28)</f>
        <v>17102.124</v>
      </c>
      <c r="O26" s="334">
        <f t="shared" si="2"/>
        <v>0.87522141375226836</v>
      </c>
      <c r="P26" s="35">
        <f>SUM(P27:P28)</f>
        <v>22653.079999999998</v>
      </c>
      <c r="Q26" s="35">
        <f>SUM(Q27:Q28)</f>
        <v>3544.3702939999998</v>
      </c>
      <c r="R26" s="334">
        <f t="shared" si="3"/>
        <v>0.15646306347746092</v>
      </c>
      <c r="S26" s="26"/>
      <c r="T26" s="122"/>
      <c r="U26" s="122"/>
      <c r="V26" s="144"/>
      <c r="W26" s="138"/>
      <c r="X26" s="138"/>
      <c r="Y26" s="138"/>
      <c r="Z26" s="142"/>
    </row>
    <row r="27" spans="2:26" s="58" customFormat="1" ht="15" hidden="1" customHeight="1" outlineLevel="3" x14ac:dyDescent="0.25">
      <c r="B27" s="586"/>
      <c r="C27" s="32"/>
      <c r="D27" s="33"/>
      <c r="E27" s="34">
        <v>1</v>
      </c>
      <c r="F27" s="34" t="str">
        <f>+CONCATENATE($B$10,"",$C$11,"",$D$26,"00",E27)</f>
        <v>21.01.002.001</v>
      </c>
      <c r="G27" s="588" t="s">
        <v>29</v>
      </c>
      <c r="H27" s="35">
        <f>+VLOOKUP(F27,matriz01,3,FALSE)</f>
        <v>1667.615</v>
      </c>
      <c r="I27" s="35">
        <f>+VLOOKUP(F27,matriz01,4,FALSE)</f>
        <v>1667.615</v>
      </c>
      <c r="J27" s="35">
        <f ca="1">+VLOOKUP(F27,matriz01,5,FALSE)</f>
        <v>130.50899999999999</v>
      </c>
      <c r="K27" s="334">
        <f t="shared" ca="1" si="0"/>
        <v>7.8260869565217384E-2</v>
      </c>
      <c r="L27" s="193">
        <f>INDEX(coincidenciaP01,MATCH(F27,indicep01,0),7)</f>
        <v>130.50899999999999</v>
      </c>
      <c r="M27" s="334">
        <f t="shared" si="1"/>
        <v>7.8260869565217384E-2</v>
      </c>
      <c r="N27" s="414">
        <f>INDEX(coincidenciaP01,MATCH(F27,indicep01,0),9)</f>
        <v>1537.106</v>
      </c>
      <c r="O27" s="334">
        <f t="shared" si="2"/>
        <v>0.92173913043478262</v>
      </c>
      <c r="P27" s="35">
        <f>+'Prog 01'!Q27</f>
        <v>1635.94</v>
      </c>
      <c r="Q27" s="35">
        <f>+'Prog 01'!R27</f>
        <v>362.641008</v>
      </c>
      <c r="R27" s="334">
        <f t="shared" si="3"/>
        <v>0.22167133757961782</v>
      </c>
      <c r="S27" s="26"/>
      <c r="T27" s="122"/>
      <c r="U27" s="122"/>
      <c r="V27" s="144"/>
      <c r="W27" s="138"/>
      <c r="X27" s="138"/>
      <c r="Y27" s="138"/>
      <c r="Z27" s="142"/>
    </row>
    <row r="28" spans="2:26" s="58" customFormat="1" ht="15" hidden="1" customHeight="1" outlineLevel="3" x14ac:dyDescent="0.25">
      <c r="B28" s="586"/>
      <c r="C28" s="32"/>
      <c r="D28" s="33"/>
      <c r="E28" s="34">
        <v>2</v>
      </c>
      <c r="F28" s="34" t="str">
        <f>+CONCATENATE($B$10,"",$C$11,"",$D$26,"00",E28)</f>
        <v>21.01.002.002</v>
      </c>
      <c r="G28" s="588" t="s">
        <v>30</v>
      </c>
      <c r="H28" s="35">
        <f>+VLOOKUP(F28,matriz01,3,FALSE)</f>
        <v>17872.724999999999</v>
      </c>
      <c r="I28" s="35">
        <f>+VLOOKUP(F28,matriz01,4,FALSE)</f>
        <v>17872.724999999999</v>
      </c>
      <c r="J28" s="35">
        <f ca="1">+VLOOKUP(F28,matriz01,5,FALSE)</f>
        <v>2307.7069999999999</v>
      </c>
      <c r="K28" s="334">
        <f t="shared" ca="1" si="0"/>
        <v>0.12911892282794035</v>
      </c>
      <c r="L28" s="193">
        <f>INDEX(coincidenciaP01,MATCH(F28,indicep01,0),7)</f>
        <v>2307.7069999999999</v>
      </c>
      <c r="M28" s="334">
        <f t="shared" si="1"/>
        <v>0.12911892282794035</v>
      </c>
      <c r="N28" s="414">
        <f>INDEX(coincidenciaP01,MATCH(F28,indicep01,0),9)</f>
        <v>15565.017999999998</v>
      </c>
      <c r="O28" s="334">
        <f t="shared" si="2"/>
        <v>0.87088107717205965</v>
      </c>
      <c r="P28" s="35">
        <f>+'Prog 01'!Q28</f>
        <v>21017.14</v>
      </c>
      <c r="Q28" s="35">
        <f>+'Prog 01'!R28</f>
        <v>3181.7292859999998</v>
      </c>
      <c r="R28" s="334">
        <f t="shared" si="3"/>
        <v>0.15138735746157658</v>
      </c>
      <c r="S28" s="26"/>
      <c r="T28" s="122"/>
      <c r="U28" s="122"/>
      <c r="V28" s="144"/>
      <c r="W28" s="138"/>
      <c r="X28" s="138"/>
      <c r="Y28" s="138"/>
      <c r="Z28" s="142"/>
    </row>
    <row r="29" spans="2:26" s="58" customFormat="1" ht="15" hidden="1" customHeight="1" outlineLevel="2" x14ac:dyDescent="0.25">
      <c r="B29" s="586"/>
      <c r="C29" s="32"/>
      <c r="D29" s="33" t="s">
        <v>157</v>
      </c>
      <c r="E29" s="34"/>
      <c r="F29" s="34"/>
      <c r="G29" s="587" t="s">
        <v>31</v>
      </c>
      <c r="H29" s="35">
        <f>SUM(H30:H31)</f>
        <v>56619.78</v>
      </c>
      <c r="I29" s="35">
        <f>SUM(I30:I32)</f>
        <v>56619.78</v>
      </c>
      <c r="J29" s="35">
        <f ca="1">SUM(J30:J32)</f>
        <v>0</v>
      </c>
      <c r="K29" s="334">
        <f t="shared" ca="1" si="0"/>
        <v>0</v>
      </c>
      <c r="L29" s="35">
        <f>SUM(L30:L32)</f>
        <v>0</v>
      </c>
      <c r="M29" s="334">
        <f t="shared" si="1"/>
        <v>0</v>
      </c>
      <c r="N29" s="35">
        <f>SUM(N30:N32)</f>
        <v>56619.78</v>
      </c>
      <c r="O29" s="334">
        <f t="shared" si="2"/>
        <v>1</v>
      </c>
      <c r="P29" s="35">
        <f>SUM(P30:P32)</f>
        <v>61217.5</v>
      </c>
      <c r="Q29" s="35">
        <f ca="1">SUM(Q30:Q32)</f>
        <v>0</v>
      </c>
      <c r="R29" s="334">
        <f t="shared" ca="1" si="3"/>
        <v>0</v>
      </c>
      <c r="S29" s="26"/>
      <c r="T29" s="122"/>
      <c r="U29" s="122"/>
      <c r="V29" s="144"/>
      <c r="W29" s="138"/>
      <c r="X29" s="138"/>
      <c r="Y29" s="138"/>
      <c r="Z29" s="142"/>
    </row>
    <row r="30" spans="2:26" s="58" customFormat="1" ht="15" hidden="1" customHeight="1" outlineLevel="3" x14ac:dyDescent="0.25">
      <c r="B30" s="586"/>
      <c r="C30" s="32"/>
      <c r="D30" s="33"/>
      <c r="E30" s="34">
        <v>1</v>
      </c>
      <c r="F30" s="34" t="str">
        <f>+CONCATENATE($B$10,"",$C$11,"",$D$29,"00",E30)</f>
        <v>21.01.003.001</v>
      </c>
      <c r="G30" s="588" t="s">
        <v>32</v>
      </c>
      <c r="H30" s="35">
        <f>+VLOOKUP(F30,matriz01,3,FALSE)</f>
        <v>30187.928</v>
      </c>
      <c r="I30" s="35">
        <f>+VLOOKUP(F30,matriz01,4,FALSE)</f>
        <v>30187.928</v>
      </c>
      <c r="J30" s="35">
        <f ca="1">+VLOOKUP(F30,matriz01,5,FALSE)</f>
        <v>0</v>
      </c>
      <c r="K30" s="334">
        <f t="shared" ca="1" si="0"/>
        <v>0</v>
      </c>
      <c r="L30" s="193">
        <f>INDEX(coincidenciaP01,MATCH(F30,indicep01,0),7)</f>
        <v>0</v>
      </c>
      <c r="M30" s="334">
        <f t="shared" si="1"/>
        <v>0</v>
      </c>
      <c r="N30" s="414">
        <f>INDEX(coincidenciaP01,MATCH(F30,indicep01,0),9)</f>
        <v>30187.928</v>
      </c>
      <c r="O30" s="334">
        <f t="shared" si="2"/>
        <v>1</v>
      </c>
      <c r="P30" s="35">
        <f>+'Prog 01'!Q30</f>
        <v>31885.200000000001</v>
      </c>
      <c r="Q30" s="35">
        <f>+'Prog 01'!R30</f>
        <v>0</v>
      </c>
      <c r="R30" s="334">
        <f t="shared" si="3"/>
        <v>0</v>
      </c>
      <c r="S30" s="26"/>
      <c r="T30" s="122"/>
      <c r="U30" s="122"/>
      <c r="V30" s="144"/>
      <c r="W30" s="138"/>
      <c r="X30" s="138"/>
      <c r="Y30" s="138"/>
      <c r="Z30" s="142"/>
    </row>
    <row r="31" spans="2:26" s="58" customFormat="1" ht="15" hidden="1" customHeight="1" outlineLevel="3" x14ac:dyDescent="0.25">
      <c r="B31" s="586"/>
      <c r="C31" s="32"/>
      <c r="D31" s="33"/>
      <c r="E31" s="34">
        <v>2</v>
      </c>
      <c r="F31" s="34" t="str">
        <f>+CONCATENATE($B$10,"",$C$11,"",$D$29,"00",E31)</f>
        <v>21.01.003.002</v>
      </c>
      <c r="G31" s="588" t="s">
        <v>33</v>
      </c>
      <c r="H31" s="35">
        <f>+VLOOKUP(F31,matriz01,3,FALSE)</f>
        <v>26431.851999999999</v>
      </c>
      <c r="I31" s="35">
        <f>+VLOOKUP(F31,matriz01,4,FALSE)</f>
        <v>26431.851999999999</v>
      </c>
      <c r="J31" s="35">
        <f ca="1">+VLOOKUP(F31,matriz01,5,FALSE)</f>
        <v>0</v>
      </c>
      <c r="K31" s="334">
        <f t="shared" ca="1" si="0"/>
        <v>0</v>
      </c>
      <c r="L31" s="193">
        <f>INDEX(coincidenciaP01,MATCH(F31,indicep01,0),7)</f>
        <v>0</v>
      </c>
      <c r="M31" s="334">
        <f t="shared" si="1"/>
        <v>0</v>
      </c>
      <c r="N31" s="414">
        <f>INDEX(coincidenciaP01,MATCH(F31,indicep01,0),9)</f>
        <v>26431.851999999999</v>
      </c>
      <c r="O31" s="334">
        <f t="shared" si="2"/>
        <v>1</v>
      </c>
      <c r="P31" s="35">
        <f>+'Prog 01'!Q31</f>
        <v>29332.3</v>
      </c>
      <c r="Q31" s="35">
        <f>+'Prog 01'!R31</f>
        <v>0</v>
      </c>
      <c r="R31" s="334">
        <f t="shared" si="3"/>
        <v>0</v>
      </c>
      <c r="S31" s="26"/>
      <c r="T31" s="122"/>
      <c r="U31" s="122"/>
      <c r="V31" s="144"/>
      <c r="W31" s="138"/>
      <c r="X31" s="138"/>
      <c r="Y31" s="138"/>
      <c r="Z31" s="142"/>
    </row>
    <row r="32" spans="2:26" s="58" customFormat="1" ht="15" hidden="1" customHeight="1" outlineLevel="3" x14ac:dyDescent="0.25">
      <c r="B32" s="586"/>
      <c r="C32" s="32"/>
      <c r="D32" s="33"/>
      <c r="E32" s="34">
        <v>3</v>
      </c>
      <c r="F32" s="34" t="str">
        <f>+CONCATENATE($B$10,"",$C$11,"",$D$29,"00",E32)</f>
        <v>21.01.003.003</v>
      </c>
      <c r="G32" s="588" t="s">
        <v>776</v>
      </c>
      <c r="H32" s="35">
        <v>0</v>
      </c>
      <c r="I32" s="35">
        <f>+VLOOKUP(F32,matriz01,4,FALSE)</f>
        <v>0</v>
      </c>
      <c r="J32" s="35">
        <f ca="1">+VLOOKUP(F32,matriz01,5,FALSE)</f>
        <v>0</v>
      </c>
      <c r="K32" s="334" t="str">
        <f t="shared" ca="1" si="0"/>
        <v>0.00%</v>
      </c>
      <c r="L32" s="193">
        <v>0</v>
      </c>
      <c r="M32" s="334">
        <f t="shared" si="1"/>
        <v>0</v>
      </c>
      <c r="N32" s="436">
        <f>+'Prog 01'!O32</f>
        <v>0</v>
      </c>
      <c r="O32" s="334">
        <f t="shared" si="2"/>
        <v>0</v>
      </c>
      <c r="P32" s="35">
        <f>+'Prog 01'!Q32</f>
        <v>0</v>
      </c>
      <c r="Q32" s="35">
        <f ca="1">+'Prog 01'!R32</f>
        <v>0</v>
      </c>
      <c r="R32" s="334" t="str">
        <f t="shared" ca="1" si="3"/>
        <v>0.00%</v>
      </c>
      <c r="S32" s="26"/>
      <c r="T32" s="122"/>
      <c r="U32" s="122"/>
      <c r="V32" s="144"/>
      <c r="W32" s="138"/>
      <c r="X32" s="138"/>
      <c r="Y32" s="138"/>
      <c r="Z32" s="142"/>
    </row>
    <row r="33" spans="2:26" s="58" customFormat="1" ht="15" hidden="1" customHeight="1" outlineLevel="2" x14ac:dyDescent="0.25">
      <c r="B33" s="586"/>
      <c r="C33" s="32"/>
      <c r="D33" s="33" t="s">
        <v>158</v>
      </c>
      <c r="E33" s="34"/>
      <c r="F33" s="34"/>
      <c r="G33" s="587" t="s">
        <v>34</v>
      </c>
      <c r="H33" s="35">
        <f>SUM(H34:H37)</f>
        <v>97527.415999999997</v>
      </c>
      <c r="I33" s="35">
        <f>SUM(I34:I37)</f>
        <v>97527.415999999997</v>
      </c>
      <c r="J33" s="35">
        <f ca="1">SUM(J34:J37)</f>
        <v>14144.813</v>
      </c>
      <c r="K33" s="334">
        <f t="shared" ca="1" si="0"/>
        <v>0.14503422299223021</v>
      </c>
      <c r="L33" s="35">
        <f>SUM(L34:L37)</f>
        <v>14144.813</v>
      </c>
      <c r="M33" s="334">
        <f t="shared" si="1"/>
        <v>0.14503422299223021</v>
      </c>
      <c r="N33" s="414">
        <f>SUM(N34:N37)</f>
        <v>83382.603000000003</v>
      </c>
      <c r="O33" s="334">
        <f t="shared" si="2"/>
        <v>0.85496577700776988</v>
      </c>
      <c r="P33" s="35">
        <f>SUM(P34:P37)</f>
        <v>220021.94700000001</v>
      </c>
      <c r="Q33" s="35">
        <f ca="1">SUM(Q34:Q37)</f>
        <v>18607.777583999999</v>
      </c>
      <c r="R33" s="334">
        <f t="shared" ca="1" si="3"/>
        <v>8.4572370337219122E-2</v>
      </c>
      <c r="S33" s="26"/>
      <c r="T33" s="122"/>
      <c r="U33" s="122"/>
      <c r="V33" s="144"/>
      <c r="W33" s="138"/>
      <c r="X33" s="138"/>
      <c r="Y33" s="138"/>
      <c r="Z33" s="142"/>
    </row>
    <row r="34" spans="2:26" ht="15" hidden="1" customHeight="1" outlineLevel="3" x14ac:dyDescent="0.25">
      <c r="B34" s="586"/>
      <c r="C34" s="32"/>
      <c r="D34" s="33"/>
      <c r="E34" s="34">
        <v>4</v>
      </c>
      <c r="F34" s="34" t="str">
        <f>+CONCATENATE($B$10,"",$C$11,"",$D$33,"00",E34)</f>
        <v>21.01.004.004</v>
      </c>
      <c r="G34" s="588" t="s">
        <v>35</v>
      </c>
      <c r="H34" s="35">
        <f>+VLOOKUP(F34,matriz01,3,FALSE)</f>
        <v>89789.216</v>
      </c>
      <c r="I34" s="35">
        <f>+VLOOKUP(F34,matriz01,4,FALSE)</f>
        <v>89789.216</v>
      </c>
      <c r="J34" s="35">
        <f ca="1">+VLOOKUP(F34,matriz01,5,FALSE)</f>
        <v>13039.422</v>
      </c>
      <c r="K34" s="334">
        <f t="shared" ca="1" si="0"/>
        <v>0.14522258441370064</v>
      </c>
      <c r="L34" s="193">
        <f>INDEX(coincidenciaP01,MATCH(F34,indicep01,0),7)</f>
        <v>13039.422</v>
      </c>
      <c r="M34" s="334">
        <f t="shared" si="1"/>
        <v>0.14522258441370064</v>
      </c>
      <c r="N34" s="414">
        <f>INDEX(coincidenciaP01,MATCH(F34,indicep01,0),9)</f>
        <v>76749.793999999994</v>
      </c>
      <c r="O34" s="334">
        <f t="shared" si="2"/>
        <v>0.85477741558629927</v>
      </c>
      <c r="P34" s="35">
        <f>+'Prog 01'!Q34</f>
        <v>211675.527</v>
      </c>
      <c r="Q34" s="35">
        <f ca="1">+'Prog 01'!R34</f>
        <v>16984.29782</v>
      </c>
      <c r="R34" s="334">
        <f t="shared" ca="1" si="3"/>
        <v>8.0237418376664774E-2</v>
      </c>
      <c r="T34" s="122"/>
      <c r="U34" s="122"/>
      <c r="V34" s="144"/>
      <c r="W34" s="138"/>
      <c r="X34" s="138"/>
      <c r="Y34" s="138"/>
      <c r="Z34" s="142"/>
    </row>
    <row r="35" spans="2:26" ht="15" hidden="1" customHeight="1" outlineLevel="3" x14ac:dyDescent="0.25">
      <c r="B35" s="586"/>
      <c r="C35" s="32"/>
      <c r="D35" s="33"/>
      <c r="E35" s="34">
        <v>5</v>
      </c>
      <c r="F35" s="34" t="str">
        <f>+CONCATENATE($B$10,"",$C$11,"",$D$33,"00",E35)</f>
        <v>21.01.004.005</v>
      </c>
      <c r="G35" s="588" t="s">
        <v>36</v>
      </c>
      <c r="H35" s="35">
        <f>+VLOOKUP(F35,matriz01,3,FALSE)</f>
        <v>138.19999999999999</v>
      </c>
      <c r="I35" s="35">
        <f>+VLOOKUP(F35,matriz01,4,FALSE)</f>
        <v>138.19999999999999</v>
      </c>
      <c r="J35" s="35">
        <f ca="1">+VLOOKUP(F35,matriz01,5,FALSE)</f>
        <v>48.972000000000001</v>
      </c>
      <c r="K35" s="334">
        <f t="shared" ca="1" si="0"/>
        <v>0.35435600578871207</v>
      </c>
      <c r="L35" s="35">
        <f>INDEX(coincidenciaP01,MATCH(F35,indicep01,0),7)</f>
        <v>48.972000000000001</v>
      </c>
      <c r="M35" s="334">
        <f t="shared" si="1"/>
        <v>0.35435600578871207</v>
      </c>
      <c r="N35" s="414">
        <f>INDEX(coincidenciaP01,MATCH(F35,indicep01,0),9)</f>
        <v>89.22799999999998</v>
      </c>
      <c r="O35" s="334">
        <f t="shared" si="2"/>
        <v>0.64564399421128793</v>
      </c>
      <c r="P35" s="35">
        <f>+'Prog 01'!Q35</f>
        <v>625.20000000000005</v>
      </c>
      <c r="Q35" s="35">
        <f ca="1">+'Prog 01'!R35</f>
        <v>0</v>
      </c>
      <c r="R35" s="334">
        <f t="shared" ca="1" si="3"/>
        <v>0</v>
      </c>
      <c r="T35" s="122"/>
      <c r="U35" s="122"/>
      <c r="V35" s="144"/>
      <c r="W35" s="138"/>
      <c r="X35" s="138"/>
      <c r="Y35" s="138"/>
      <c r="Z35" s="142"/>
    </row>
    <row r="36" spans="2:26" ht="15" hidden="1" customHeight="1" outlineLevel="3" collapsed="1" x14ac:dyDescent="0.25">
      <c r="B36" s="586"/>
      <c r="C36" s="32"/>
      <c r="D36" s="33"/>
      <c r="E36" s="34">
        <v>6</v>
      </c>
      <c r="F36" s="34" t="str">
        <f>+CONCATENATE($B$10,"",$C$11,"",$D$33,"00",E36)</f>
        <v>21.01.004.006</v>
      </c>
      <c r="G36" s="588" t="s">
        <v>37</v>
      </c>
      <c r="H36" s="35">
        <f>+VLOOKUP(F36,matriz01,3,FALSE)</f>
        <v>5600</v>
      </c>
      <c r="I36" s="35">
        <f>+VLOOKUP(F36,matriz01,4,FALSE)</f>
        <v>5600</v>
      </c>
      <c r="J36" s="35">
        <f ca="1">+VLOOKUP(F36,matriz01,5,FALSE)</f>
        <v>1056.4189999999999</v>
      </c>
      <c r="K36" s="334">
        <f t="shared" ca="1" si="0"/>
        <v>0.18864624999999999</v>
      </c>
      <c r="L36" s="193">
        <f>INDEX(coincidenciaP01,MATCH(F36,indicep01,0),7)</f>
        <v>1056.4190000000001</v>
      </c>
      <c r="M36" s="334">
        <f t="shared" si="1"/>
        <v>0.18864625000000002</v>
      </c>
      <c r="N36" s="414">
        <f>INDEX(coincidenciaP01,MATCH(F36,indicep01,0),9)</f>
        <v>4543.5810000000001</v>
      </c>
      <c r="O36" s="334">
        <f t="shared" si="2"/>
        <v>0.81135374999999998</v>
      </c>
      <c r="P36" s="35">
        <f>+'Prog 01'!Q36</f>
        <v>5637.22</v>
      </c>
      <c r="Q36" s="35">
        <f ca="1">+'Prog 01'!R36</f>
        <v>1623.4797640000002</v>
      </c>
      <c r="R36" s="334">
        <f t="shared" ca="1" si="3"/>
        <v>0.28799297597042517</v>
      </c>
      <c r="T36" s="122"/>
      <c r="U36" s="122"/>
      <c r="V36" s="144"/>
      <c r="W36" s="138"/>
      <c r="X36" s="138"/>
      <c r="Y36" s="138"/>
      <c r="Z36" s="142"/>
    </row>
    <row r="37" spans="2:26" ht="15" hidden="1" customHeight="1" outlineLevel="3" x14ac:dyDescent="0.25">
      <c r="B37" s="586"/>
      <c r="C37" s="32"/>
      <c r="D37" s="33"/>
      <c r="E37" s="34">
        <v>7</v>
      </c>
      <c r="F37" s="34" t="str">
        <f>+CONCATENATE($B$10,"",$C$11,"",$D$33,"00",E37)</f>
        <v>21.01.004.007</v>
      </c>
      <c r="G37" s="588" t="s">
        <v>38</v>
      </c>
      <c r="H37" s="35">
        <f>+VLOOKUP(F37,matriz01,3,FALSE)</f>
        <v>2000</v>
      </c>
      <c r="I37" s="35">
        <f>+VLOOKUP(F37,matriz01,4,FALSE)</f>
        <v>2000</v>
      </c>
      <c r="J37" s="35">
        <f ca="1">+VLOOKUP(F37,matriz01,5,FALSE)</f>
        <v>0</v>
      </c>
      <c r="K37" s="334">
        <f t="shared" ca="1" si="0"/>
        <v>0</v>
      </c>
      <c r="L37" s="35">
        <f>INDEX(coincidenciaP01,MATCH(F37,indicep01,0),7)</f>
        <v>0</v>
      </c>
      <c r="M37" s="334">
        <f t="shared" si="1"/>
        <v>0</v>
      </c>
      <c r="N37" s="414">
        <f>INDEX(coincidenciaP01,MATCH(F37,indicep01,0),9)</f>
        <v>2000</v>
      </c>
      <c r="O37" s="334">
        <f t="shared" si="2"/>
        <v>1</v>
      </c>
      <c r="P37" s="35">
        <f>+'Prog 01'!Q37</f>
        <v>2084</v>
      </c>
      <c r="Q37" s="35">
        <f ca="1">+'Prog 01'!R37</f>
        <v>0</v>
      </c>
      <c r="R37" s="334">
        <f t="shared" ca="1" si="3"/>
        <v>0</v>
      </c>
      <c r="T37" s="122"/>
      <c r="U37" s="122"/>
      <c r="V37" s="144"/>
      <c r="W37" s="138"/>
      <c r="X37" s="138"/>
      <c r="Y37" s="138"/>
      <c r="Z37" s="142"/>
    </row>
    <row r="38" spans="2:26" s="58" customFormat="1" ht="15" hidden="1" customHeight="1" outlineLevel="2" x14ac:dyDescent="0.25">
      <c r="B38" s="586"/>
      <c r="C38" s="32"/>
      <c r="D38" s="33" t="s">
        <v>159</v>
      </c>
      <c r="E38" s="34"/>
      <c r="F38" s="34"/>
      <c r="G38" s="587" t="s">
        <v>34</v>
      </c>
      <c r="H38" s="35">
        <f>SUM(H39:H41)</f>
        <v>1210.5509999999999</v>
      </c>
      <c r="I38" s="35">
        <f>SUM(I39:I41)</f>
        <v>1210.5509999999999</v>
      </c>
      <c r="J38" s="35">
        <f ca="1">SUM(J39:J41)</f>
        <v>218.404</v>
      </c>
      <c r="K38" s="334">
        <f t="shared" ca="1" si="0"/>
        <v>0.18041701671387658</v>
      </c>
      <c r="L38" s="193">
        <f>SUM(L39:L41)</f>
        <v>218.404</v>
      </c>
      <c r="M38" s="334">
        <f t="shared" si="1"/>
        <v>0.18041701671387658</v>
      </c>
      <c r="N38" s="414">
        <f>SUM(N39:N41)</f>
        <v>992.14699999999993</v>
      </c>
      <c r="O38" s="334">
        <f t="shared" si="2"/>
        <v>0.81958298328612345</v>
      </c>
      <c r="P38" s="35">
        <f>SUM(P39:P41)</f>
        <v>1156.6199999999999</v>
      </c>
      <c r="Q38" s="35">
        <f ca="1">SUM(Q39:Q41)</f>
        <v>0</v>
      </c>
      <c r="R38" s="334">
        <f t="shared" ca="1" si="3"/>
        <v>0</v>
      </c>
      <c r="S38" s="26"/>
      <c r="T38" s="122"/>
      <c r="U38" s="122"/>
      <c r="V38" s="144"/>
      <c r="W38" s="138"/>
      <c r="X38" s="138"/>
      <c r="Y38" s="138"/>
      <c r="Z38" s="142"/>
    </row>
    <row r="39" spans="2:26" ht="15" hidden="1" customHeight="1" outlineLevel="3" x14ac:dyDescent="0.25">
      <c r="B39" s="586"/>
      <c r="C39" s="32"/>
      <c r="D39" s="33"/>
      <c r="E39" s="34">
        <v>1</v>
      </c>
      <c r="F39" s="34" t="str">
        <f>+CONCATENATE($B$10,"",$C$11,"",$D$38,"00",E39)</f>
        <v>21.01.005.001</v>
      </c>
      <c r="G39" s="588" t="s">
        <v>95</v>
      </c>
      <c r="H39" s="35">
        <f>+VLOOKUP(F39,matriz01,3,FALSE)</f>
        <v>344.95400000000001</v>
      </c>
      <c r="I39" s="35">
        <f>+VLOOKUP(F39,matriz01,4,FALSE)</f>
        <v>344.95400000000001</v>
      </c>
      <c r="J39" s="35">
        <f ca="1">+VLOOKUP(F39,matriz01,5,FALSE)</f>
        <v>0</v>
      </c>
      <c r="K39" s="334">
        <f t="shared" ca="1" si="0"/>
        <v>0</v>
      </c>
      <c r="L39" s="35">
        <f>INDEX(coincidenciaP01,MATCH(F39,indicep01,0),7)</f>
        <v>0</v>
      </c>
      <c r="M39" s="334">
        <f t="shared" si="1"/>
        <v>0</v>
      </c>
      <c r="N39" s="414">
        <f>INDEX(coincidenciaP01,MATCH(F39,indicep01,0),9)</f>
        <v>344.95400000000001</v>
      </c>
      <c r="O39" s="334">
        <f t="shared" si="2"/>
        <v>1</v>
      </c>
      <c r="P39" s="35">
        <f>+'Prog 01'!Q39</f>
        <v>10.42</v>
      </c>
      <c r="Q39" s="35">
        <f ca="1">+'Prog 01'!R39</f>
        <v>0</v>
      </c>
      <c r="R39" s="334">
        <f t="shared" ca="1" si="3"/>
        <v>0</v>
      </c>
      <c r="T39" s="122"/>
      <c r="U39" s="122"/>
      <c r="V39" s="144"/>
      <c r="W39" s="138"/>
      <c r="X39" s="138"/>
      <c r="Y39" s="138"/>
      <c r="Z39" s="142"/>
    </row>
    <row r="40" spans="2:26" ht="15" hidden="1" customHeight="1" outlineLevel="3" x14ac:dyDescent="0.25">
      <c r="B40" s="586"/>
      <c r="C40" s="32"/>
      <c r="D40" s="33"/>
      <c r="E40" s="34">
        <v>2</v>
      </c>
      <c r="F40" s="34" t="str">
        <f>+CONCATENATE($B$10,"",$C$11,"",$D$38,"00",E40)</f>
        <v>21.01.005.002</v>
      </c>
      <c r="G40" s="588" t="s">
        <v>96</v>
      </c>
      <c r="H40" s="35">
        <f>+VLOOKUP(F40,matriz01,3,FALSE)</f>
        <v>326.529</v>
      </c>
      <c r="I40" s="35">
        <f>+VLOOKUP(F40,matriz01,4,FALSE)</f>
        <v>326.529</v>
      </c>
      <c r="J40" s="35">
        <f ca="1">+VLOOKUP(F40,matriz01,5,FALSE)</f>
        <v>0</v>
      </c>
      <c r="K40" s="334">
        <f t="shared" ca="1" si="0"/>
        <v>0</v>
      </c>
      <c r="L40" s="193">
        <f>INDEX(coincidenciaP01,MATCH(F40,indicep01,0),7)</f>
        <v>0</v>
      </c>
      <c r="M40" s="334">
        <f t="shared" si="1"/>
        <v>0</v>
      </c>
      <c r="N40" s="35">
        <f>INDEX(coincidenciaP01,MATCH(F40,indicep01,0),9)</f>
        <v>326.529</v>
      </c>
      <c r="O40" s="334">
        <f t="shared" si="2"/>
        <v>1</v>
      </c>
      <c r="P40" s="35">
        <f>+'Prog 01'!Q40</f>
        <v>333.44</v>
      </c>
      <c r="Q40" s="35">
        <f ca="1">+'Prog 01'!R40</f>
        <v>0</v>
      </c>
      <c r="R40" s="334">
        <f t="shared" ca="1" si="3"/>
        <v>0</v>
      </c>
      <c r="T40" s="122"/>
      <c r="U40" s="122"/>
      <c r="V40" s="144"/>
      <c r="W40" s="138"/>
      <c r="X40" s="138"/>
      <c r="Y40" s="138"/>
      <c r="Z40" s="142"/>
    </row>
    <row r="41" spans="2:26" ht="15" hidden="1" customHeight="1" outlineLevel="3" x14ac:dyDescent="0.25">
      <c r="B41" s="586"/>
      <c r="C41" s="32"/>
      <c r="D41" s="33"/>
      <c r="E41" s="34">
        <v>3</v>
      </c>
      <c r="F41" s="34" t="str">
        <f>+CONCATENATE($B$10,"",$C$11,"",$D$38,"00",E41)</f>
        <v>21.01.005.003</v>
      </c>
      <c r="G41" s="588" t="s">
        <v>97</v>
      </c>
      <c r="H41" s="35">
        <f>+VLOOKUP(F41,matriz01,3,FALSE)</f>
        <v>539.06799999999998</v>
      </c>
      <c r="I41" s="35">
        <f>+VLOOKUP(F41,matriz01,4,FALSE)</f>
        <v>539.06799999999998</v>
      </c>
      <c r="J41" s="35">
        <f ca="1">+VLOOKUP(F41,matriz01,5,FALSE)</f>
        <v>218.404</v>
      </c>
      <c r="K41" s="334">
        <f t="shared" ca="1" si="0"/>
        <v>0.40515111266111142</v>
      </c>
      <c r="L41" s="193">
        <f>INDEX(coincidenciaP01,MATCH(F41,indicep01,0),7)</f>
        <v>218.404</v>
      </c>
      <c r="M41" s="334">
        <f t="shared" si="1"/>
        <v>0.40515111266111142</v>
      </c>
      <c r="N41" s="414">
        <f>INDEX(coincidenciaP01,MATCH(F41,indicep01,0),9)</f>
        <v>320.66399999999999</v>
      </c>
      <c r="O41" s="334">
        <f t="shared" si="2"/>
        <v>0.59484888733888863</v>
      </c>
      <c r="P41" s="35">
        <f>+'Prog 01'!Q41</f>
        <v>812.76</v>
      </c>
      <c r="Q41" s="35">
        <f ca="1">+'Prog 01'!R41</f>
        <v>0</v>
      </c>
      <c r="R41" s="334">
        <f t="shared" ca="1" si="3"/>
        <v>0</v>
      </c>
      <c r="T41" s="122"/>
      <c r="U41" s="122"/>
      <c r="V41" s="144"/>
      <c r="W41" s="138"/>
      <c r="X41" s="138"/>
      <c r="Y41" s="138"/>
      <c r="Z41" s="142"/>
    </row>
    <row r="42" spans="2:26" s="58" customFormat="1" ht="15" hidden="1" customHeight="1" outlineLevel="1" x14ac:dyDescent="0.25">
      <c r="B42" s="586"/>
      <c r="C42" s="32" t="s">
        <v>160</v>
      </c>
      <c r="D42" s="33"/>
      <c r="E42" s="34"/>
      <c r="F42" s="34"/>
      <c r="G42" s="587" t="s">
        <v>39</v>
      </c>
      <c r="H42" s="36">
        <f>+H43+H57+H60+H64+H69</f>
        <v>18291793.324999996</v>
      </c>
      <c r="I42" s="35">
        <f>+I43+I57+I60+I64+I69</f>
        <v>17887240.324999996</v>
      </c>
      <c r="J42" s="36">
        <f ca="1">+J43+J57+J60+J64+J69</f>
        <v>2445376.3810000001</v>
      </c>
      <c r="K42" s="334">
        <f t="shared" ca="1" si="0"/>
        <v>0.13671065723773132</v>
      </c>
      <c r="L42" s="193">
        <f>+L43+L57+L60+L64+L69</f>
        <v>2445376.3810000001</v>
      </c>
      <c r="M42" s="334">
        <f t="shared" si="1"/>
        <v>0.13671065723773132</v>
      </c>
      <c r="N42" s="414">
        <f>+N43+N57+N60+N64+N69</f>
        <v>15441863.943999998</v>
      </c>
      <c r="O42" s="334">
        <f t="shared" si="2"/>
        <v>0.86328934276226887</v>
      </c>
      <c r="P42" s="35">
        <f>+P43+P57+P60+P64+P69</f>
        <v>17717147.361000001</v>
      </c>
      <c r="Q42" s="35">
        <f ca="1">+Q43+Q57+Q60+Q64+Q69</f>
        <v>2352332.7379660006</v>
      </c>
      <c r="R42" s="334">
        <f t="shared" ca="1" si="3"/>
        <v>0.13277152862339961</v>
      </c>
      <c r="S42" s="26"/>
      <c r="T42" s="122"/>
      <c r="U42" s="122"/>
      <c r="V42" s="144"/>
      <c r="W42" s="138"/>
      <c r="X42" s="138"/>
      <c r="Y42" s="138"/>
      <c r="Z42" s="142"/>
    </row>
    <row r="43" spans="2:26" s="58" customFormat="1" ht="15" hidden="1" customHeight="1" outlineLevel="2" x14ac:dyDescent="0.25">
      <c r="B43" s="586"/>
      <c r="C43" s="32"/>
      <c r="D43" s="33" t="s">
        <v>154</v>
      </c>
      <c r="E43" s="34"/>
      <c r="F43" s="34"/>
      <c r="G43" s="587" t="s">
        <v>18</v>
      </c>
      <c r="H43" s="36">
        <f>SUM(H44:H56)</f>
        <v>15545567.981999999</v>
      </c>
      <c r="I43" s="35">
        <f>SUM(I44:I56)</f>
        <v>15141014.981999999</v>
      </c>
      <c r="J43" s="36">
        <f ca="1">SUM(J44:J56)</f>
        <v>2272792.966</v>
      </c>
      <c r="K43" s="334">
        <f t="shared" ca="1" si="0"/>
        <v>0.15010836253064611</v>
      </c>
      <c r="L43" s="607">
        <f>SUM(L44:L56)</f>
        <v>2272792.966</v>
      </c>
      <c r="M43" s="334">
        <f t="shared" si="1"/>
        <v>0.15010836253064611</v>
      </c>
      <c r="N43" s="36">
        <f>SUM(N44:N56)</f>
        <v>12868222.016000001</v>
      </c>
      <c r="O43" s="334">
        <f t="shared" si="2"/>
        <v>0.84989163746935403</v>
      </c>
      <c r="P43" s="35">
        <f>SUM(P44:P56)</f>
        <v>15194902.48</v>
      </c>
      <c r="Q43" s="35">
        <f ca="1">+'Prog 01'!R43</f>
        <v>2203205.1230200003</v>
      </c>
      <c r="R43" s="334">
        <f t="shared" ca="1" si="3"/>
        <v>0.14499633188958777</v>
      </c>
      <c r="S43" s="26"/>
      <c r="T43" s="122"/>
      <c r="U43" s="122"/>
      <c r="V43" s="144"/>
      <c r="W43" s="138"/>
      <c r="X43" s="138"/>
      <c r="Y43" s="138"/>
      <c r="Z43" s="142"/>
    </row>
    <row r="44" spans="2:26" ht="15" hidden="1" customHeight="1" outlineLevel="3" x14ac:dyDescent="0.25">
      <c r="B44" s="586"/>
      <c r="C44" s="32"/>
      <c r="D44" s="33"/>
      <c r="E44" s="34">
        <v>1</v>
      </c>
      <c r="F44" s="34" t="str">
        <f t="shared" ref="F44:F49" si="11">+CONCATENATE($B$10,"",$C$42,"",$D$43,"00",E44)</f>
        <v>21.02.001.001</v>
      </c>
      <c r="G44" s="588" t="s">
        <v>98</v>
      </c>
      <c r="H44" s="35">
        <f>+VLOOKUP(F44,matriz01,3,FALSE)+404553</f>
        <v>3651832.827</v>
      </c>
      <c r="I44" s="35">
        <f t="shared" ref="I44:I56" si="12">+VLOOKUP(F44,matriz01,4,FALSE)</f>
        <v>3247279.827</v>
      </c>
      <c r="J44" s="35">
        <f t="shared" ref="J44:J54" ca="1" si="13">+VLOOKUP(F44,matriz01,5,FALSE)</f>
        <v>544172.821</v>
      </c>
      <c r="K44" s="334">
        <f t="shared" ca="1" si="0"/>
        <v>0.16757804993440745</v>
      </c>
      <c r="L44" s="193">
        <f t="shared" ref="L44:L54" si="14">INDEX(coincidenciaP01,MATCH(F44,indicep01,0),7)</f>
        <v>544172.821</v>
      </c>
      <c r="M44" s="334">
        <f t="shared" si="1"/>
        <v>0.16757804993440745</v>
      </c>
      <c r="N44" s="414">
        <f t="shared" ref="N44:N54" si="15">INDEX(coincidenciaP01,MATCH(F44,indicep01,0),9)</f>
        <v>2703107.0060000001</v>
      </c>
      <c r="O44" s="334">
        <f t="shared" si="2"/>
        <v>0.8324219500655925</v>
      </c>
      <c r="P44" s="35">
        <f>+'Prog 01'!Q44</f>
        <v>3454192.7672560001</v>
      </c>
      <c r="Q44" s="35">
        <f ca="1">+'Prog 01'!R44</f>
        <v>527455.10559800011</v>
      </c>
      <c r="R44" s="334">
        <f t="shared" ca="1" si="3"/>
        <v>0.15269996237558242</v>
      </c>
      <c r="T44" s="122"/>
      <c r="U44" s="122"/>
      <c r="V44" s="144"/>
      <c r="W44" s="138"/>
      <c r="X44" s="138"/>
      <c r="Y44" s="138"/>
      <c r="Z44" s="142"/>
    </row>
    <row r="45" spans="2:26" ht="15" hidden="1" customHeight="1" outlineLevel="3" x14ac:dyDescent="0.25">
      <c r="B45" s="586"/>
      <c r="C45" s="32"/>
      <c r="D45" s="33"/>
      <c r="E45" s="34">
        <v>2</v>
      </c>
      <c r="F45" s="34" t="str">
        <f t="shared" si="11"/>
        <v>21.02.001.002</v>
      </c>
      <c r="G45" s="588" t="s">
        <v>19</v>
      </c>
      <c r="H45" s="35">
        <f t="shared" ref="H45:H51" si="16">+VLOOKUP(F45,matriz01,3,FALSE)</f>
        <v>144871.696</v>
      </c>
      <c r="I45" s="35">
        <f t="shared" si="12"/>
        <v>144871.696</v>
      </c>
      <c r="J45" s="35">
        <f t="shared" ca="1" si="13"/>
        <v>25449.965</v>
      </c>
      <c r="K45" s="334">
        <f t="shared" ca="1" si="0"/>
        <v>0.17567244467131798</v>
      </c>
      <c r="L45" s="193">
        <f t="shared" si="14"/>
        <v>25449.965</v>
      </c>
      <c r="M45" s="334">
        <f t="shared" si="1"/>
        <v>0.17567244467131798</v>
      </c>
      <c r="N45" s="414">
        <f t="shared" si="15"/>
        <v>119421.731</v>
      </c>
      <c r="O45" s="334">
        <f t="shared" si="2"/>
        <v>0.82432755532868207</v>
      </c>
      <c r="P45" s="35">
        <f>+'Prog 01'!Q45</f>
        <v>136752.08000000002</v>
      </c>
      <c r="Q45" s="35">
        <f ca="1">+'Prog 01'!R45</f>
        <v>25363.784648000001</v>
      </c>
      <c r="R45" s="334">
        <f t="shared" ca="1" si="3"/>
        <v>0.18547275220969214</v>
      </c>
      <c r="T45" s="122"/>
      <c r="U45" s="122"/>
      <c r="V45" s="144"/>
      <c r="W45" s="138"/>
      <c r="X45" s="138"/>
      <c r="Y45" s="138"/>
      <c r="Z45" s="142"/>
    </row>
    <row r="46" spans="2:26" ht="15" hidden="1" customHeight="1" outlineLevel="3" x14ac:dyDescent="0.25">
      <c r="B46" s="586"/>
      <c r="C46" s="32"/>
      <c r="D46" s="33"/>
      <c r="E46" s="34">
        <v>3</v>
      </c>
      <c r="F46" s="34" t="str">
        <f t="shared" si="11"/>
        <v>21.02.001.003</v>
      </c>
      <c r="G46" s="588" t="s">
        <v>20</v>
      </c>
      <c r="H46" s="35">
        <f t="shared" si="16"/>
        <v>2214042.253</v>
      </c>
      <c r="I46" s="35">
        <f t="shared" si="12"/>
        <v>2214042.253</v>
      </c>
      <c r="J46" s="35">
        <f t="shared" ca="1" si="13"/>
        <v>386532.06199999998</v>
      </c>
      <c r="K46" s="334">
        <f t="shared" ca="1" si="0"/>
        <v>0.1745820620524535</v>
      </c>
      <c r="L46" s="193">
        <f t="shared" si="14"/>
        <v>386532.06199999998</v>
      </c>
      <c r="M46" s="334">
        <f t="shared" si="1"/>
        <v>0.1745820620524535</v>
      </c>
      <c r="N46" s="414">
        <f t="shared" si="15"/>
        <v>1827510.1910000001</v>
      </c>
      <c r="O46" s="334">
        <f t="shared" si="2"/>
        <v>0.82541793794754648</v>
      </c>
      <c r="P46" s="35">
        <f>+'Prog 01'!Q46</f>
        <v>2170600.62</v>
      </c>
      <c r="Q46" s="35">
        <f ca="1">+'Prog 01'!R46</f>
        <v>374107.34272000002</v>
      </c>
      <c r="R46" s="334">
        <f t="shared" ca="1" si="3"/>
        <v>0.17235199293364248</v>
      </c>
      <c r="T46" s="122"/>
      <c r="U46" s="122"/>
      <c r="V46" s="144"/>
      <c r="W46" s="138"/>
      <c r="X46" s="138"/>
      <c r="Y46" s="138"/>
      <c r="Z46" s="142"/>
    </row>
    <row r="47" spans="2:26" ht="15" hidden="1" customHeight="1" outlineLevel="3" x14ac:dyDescent="0.25">
      <c r="B47" s="586"/>
      <c r="C47" s="32"/>
      <c r="D47" s="33"/>
      <c r="E47" s="34">
        <v>4</v>
      </c>
      <c r="F47" s="34" t="str">
        <f t="shared" si="11"/>
        <v>21.02.001.004</v>
      </c>
      <c r="G47" s="588" t="s">
        <v>21</v>
      </c>
      <c r="H47" s="35">
        <f t="shared" si="16"/>
        <v>289402.63799999998</v>
      </c>
      <c r="I47" s="35">
        <f t="shared" si="12"/>
        <v>289402.63799999998</v>
      </c>
      <c r="J47" s="35">
        <f t="shared" ca="1" si="13"/>
        <v>49665.553</v>
      </c>
      <c r="K47" s="334">
        <f t="shared" ca="1" si="0"/>
        <v>0.17161403000065259</v>
      </c>
      <c r="L47" s="193">
        <f t="shared" si="14"/>
        <v>49665.553</v>
      </c>
      <c r="M47" s="334">
        <f t="shared" si="1"/>
        <v>0.17161403000065259</v>
      </c>
      <c r="N47" s="414">
        <f t="shared" si="15"/>
        <v>239737.08499999996</v>
      </c>
      <c r="O47" s="334">
        <f t="shared" si="2"/>
        <v>0.82838596999934733</v>
      </c>
      <c r="P47" s="35">
        <f>+'Prog 01'!Q47</f>
        <v>288738.2</v>
      </c>
      <c r="Q47" s="35">
        <f ca="1">+'Prog 01'!R47</f>
        <v>49455.466520000002</v>
      </c>
      <c r="R47" s="334">
        <f t="shared" ca="1" si="3"/>
        <v>0.17128134247564056</v>
      </c>
      <c r="T47" s="122"/>
      <c r="U47" s="122"/>
      <c r="V47" s="144"/>
      <c r="W47" s="138"/>
      <c r="X47" s="138"/>
      <c r="Y47" s="138"/>
      <c r="Z47" s="142"/>
    </row>
    <row r="48" spans="2:26" ht="15" hidden="1" customHeight="1" outlineLevel="3" x14ac:dyDescent="0.25">
      <c r="B48" s="586"/>
      <c r="C48" s="32"/>
      <c r="D48" s="33"/>
      <c r="E48" s="34">
        <v>6</v>
      </c>
      <c r="F48" s="34" t="str">
        <f t="shared" si="11"/>
        <v>21.02.001.006</v>
      </c>
      <c r="G48" s="588" t="s">
        <v>99</v>
      </c>
      <c r="H48" s="35">
        <f t="shared" si="16"/>
        <v>0</v>
      </c>
      <c r="I48" s="35">
        <f t="shared" si="12"/>
        <v>0</v>
      </c>
      <c r="J48" s="35">
        <f t="shared" ca="1" si="13"/>
        <v>0</v>
      </c>
      <c r="K48" s="334" t="str">
        <f t="shared" ca="1" si="0"/>
        <v>0.00%</v>
      </c>
      <c r="L48" s="193">
        <f t="shared" si="14"/>
        <v>0</v>
      </c>
      <c r="M48" s="334">
        <f t="shared" si="1"/>
        <v>0</v>
      </c>
      <c r="N48" s="35">
        <f t="shared" si="15"/>
        <v>0</v>
      </c>
      <c r="O48" s="334">
        <f t="shared" si="2"/>
        <v>0</v>
      </c>
      <c r="P48" s="35">
        <f>+'Prog 01'!Q48</f>
        <v>0</v>
      </c>
      <c r="Q48" s="35">
        <f ca="1">+'Prog 01'!R48</f>
        <v>0</v>
      </c>
      <c r="R48" s="334" t="str">
        <f t="shared" ca="1" si="3"/>
        <v>0.00%</v>
      </c>
      <c r="T48" s="122"/>
      <c r="U48" s="122"/>
      <c r="V48" s="144"/>
      <c r="W48" s="138"/>
      <c r="X48" s="138"/>
      <c r="Y48" s="138"/>
      <c r="Z48" s="142"/>
    </row>
    <row r="49" spans="2:26" ht="15" hidden="1" customHeight="1" outlineLevel="3" x14ac:dyDescent="0.25">
      <c r="B49" s="586"/>
      <c r="C49" s="32"/>
      <c r="D49" s="33"/>
      <c r="E49" s="34">
        <v>7</v>
      </c>
      <c r="F49" s="34" t="str">
        <f t="shared" si="11"/>
        <v>21.02.001.007</v>
      </c>
      <c r="G49" s="588" t="s">
        <v>100</v>
      </c>
      <c r="H49" s="35">
        <f t="shared" si="16"/>
        <v>149822.50099999999</v>
      </c>
      <c r="I49" s="35">
        <f t="shared" si="12"/>
        <v>149822.50099999999</v>
      </c>
      <c r="J49" s="35">
        <f t="shared" ca="1" si="13"/>
        <v>18985.718000000001</v>
      </c>
      <c r="K49" s="334">
        <f t="shared" ca="1" si="0"/>
        <v>0.12672140615247107</v>
      </c>
      <c r="L49" s="193">
        <f t="shared" si="14"/>
        <v>18985.718000000001</v>
      </c>
      <c r="M49" s="334">
        <f t="shared" si="1"/>
        <v>0.12672140615247107</v>
      </c>
      <c r="N49" s="414">
        <f t="shared" si="15"/>
        <v>130836.783</v>
      </c>
      <c r="O49" s="334">
        <f t="shared" si="2"/>
        <v>0.87327859384752904</v>
      </c>
      <c r="P49" s="35">
        <f>+'Prog 01'!Q49</f>
        <v>147557.62</v>
      </c>
      <c r="Q49" s="35">
        <f ca="1">+'Prog 01'!R49</f>
        <v>26882.996682000005</v>
      </c>
      <c r="R49" s="334">
        <f t="shared" ca="1" si="3"/>
        <v>0.18218643457382958</v>
      </c>
      <c r="T49" s="122"/>
      <c r="U49" s="122"/>
      <c r="V49" s="144"/>
      <c r="W49" s="138"/>
      <c r="X49" s="138"/>
      <c r="Y49" s="138"/>
      <c r="Z49" s="142"/>
    </row>
    <row r="50" spans="2:26" ht="15" hidden="1" customHeight="1" outlineLevel="3" x14ac:dyDescent="0.25">
      <c r="B50" s="586"/>
      <c r="C50" s="32"/>
      <c r="D50" s="33"/>
      <c r="E50" s="34">
        <v>13</v>
      </c>
      <c r="F50" s="34" t="str">
        <f t="shared" ref="F50:F56" si="17">+CONCATENATE($B$10,"",$C$42,"",$D$43,"0",E50)</f>
        <v>21.02.001.013</v>
      </c>
      <c r="G50" s="588" t="s">
        <v>24</v>
      </c>
      <c r="H50" s="35">
        <f t="shared" si="16"/>
        <v>2483515.6749999998</v>
      </c>
      <c r="I50" s="35">
        <f t="shared" si="12"/>
        <v>2483515.6749999998</v>
      </c>
      <c r="J50" s="35">
        <f t="shared" ca="1" si="13"/>
        <v>368612.16200000001</v>
      </c>
      <c r="K50" s="334">
        <f t="shared" ca="1" si="0"/>
        <v>0.14842352947903178</v>
      </c>
      <c r="L50" s="193">
        <f t="shared" si="14"/>
        <v>368612.16200000001</v>
      </c>
      <c r="M50" s="334">
        <f t="shared" si="1"/>
        <v>0.14842352947903178</v>
      </c>
      <c r="N50" s="414">
        <f t="shared" si="15"/>
        <v>2114903.5129999998</v>
      </c>
      <c r="O50" s="334">
        <f t="shared" si="2"/>
        <v>0.85157647052096819</v>
      </c>
      <c r="P50" s="35">
        <f>+'Prog 01'!Q50</f>
        <v>2422754.2000000002</v>
      </c>
      <c r="Q50" s="35">
        <f ca="1">+'Prog 01'!R50</f>
        <v>357322.70877199998</v>
      </c>
      <c r="R50" s="334">
        <f t="shared" ca="1" si="3"/>
        <v>0.14748615801470902</v>
      </c>
      <c r="T50" s="122"/>
      <c r="U50" s="122"/>
      <c r="V50" s="144"/>
      <c r="W50" s="138"/>
      <c r="X50" s="138"/>
      <c r="Y50" s="138"/>
      <c r="Z50" s="142"/>
    </row>
    <row r="51" spans="2:26" ht="15" hidden="1" customHeight="1" outlineLevel="3" x14ac:dyDescent="0.25">
      <c r="B51" s="586"/>
      <c r="C51" s="32"/>
      <c r="D51" s="33"/>
      <c r="E51" s="34">
        <v>14</v>
      </c>
      <c r="F51" s="34" t="str">
        <f t="shared" si="17"/>
        <v>21.02.001.014</v>
      </c>
      <c r="G51" s="588" t="s">
        <v>25</v>
      </c>
      <c r="H51" s="35">
        <f t="shared" si="16"/>
        <v>4986131.4129999997</v>
      </c>
      <c r="I51" s="35">
        <f t="shared" si="12"/>
        <v>4986131.4129999997</v>
      </c>
      <c r="J51" s="35">
        <f t="shared" ca="1" si="13"/>
        <v>877917.02899999998</v>
      </c>
      <c r="K51" s="334">
        <f t="shared" ca="1" si="0"/>
        <v>0.17607177915749811</v>
      </c>
      <c r="L51" s="193">
        <f t="shared" si="14"/>
        <v>877917.02899999998</v>
      </c>
      <c r="M51" s="334">
        <f t="shared" si="1"/>
        <v>0.17607177915749811</v>
      </c>
      <c r="N51" s="414">
        <f t="shared" si="15"/>
        <v>4108214.3839999996</v>
      </c>
      <c r="O51" s="334">
        <f t="shared" si="2"/>
        <v>0.82392822084250184</v>
      </c>
      <c r="P51" s="35">
        <f>+'Prog 01'!Q51</f>
        <v>4912311.0200000005</v>
      </c>
      <c r="Q51" s="35">
        <f ca="1">+'Prog 01'!R51</f>
        <v>841892.76533600001</v>
      </c>
      <c r="R51" s="334">
        <f t="shared" ca="1" si="3"/>
        <v>0.1713842551720188</v>
      </c>
      <c r="T51" s="122"/>
      <c r="U51" s="122"/>
      <c r="V51" s="144"/>
      <c r="W51" s="138"/>
      <c r="X51" s="138"/>
      <c r="Y51" s="138"/>
      <c r="Z51" s="142"/>
    </row>
    <row r="52" spans="2:26" ht="15" hidden="1" customHeight="1" outlineLevel="3" x14ac:dyDescent="0.25">
      <c r="B52" s="586"/>
      <c r="C52" s="32"/>
      <c r="D52" s="33"/>
      <c r="E52" s="34">
        <v>21</v>
      </c>
      <c r="F52" s="34" t="str">
        <f t="shared" si="17"/>
        <v>21.02.001.021</v>
      </c>
      <c r="G52" s="588" t="s">
        <v>26</v>
      </c>
      <c r="H52" s="35">
        <f>+VLOOKUP(F52,matriz01,3,FALSE)</f>
        <v>1569726.9240000001</v>
      </c>
      <c r="I52" s="35">
        <f t="shared" si="12"/>
        <v>1569726.9240000001</v>
      </c>
      <c r="J52" s="35">
        <f t="shared" ca="1" si="13"/>
        <v>0</v>
      </c>
      <c r="K52" s="334">
        <f t="shared" ca="1" si="0"/>
        <v>0</v>
      </c>
      <c r="L52" s="193">
        <f t="shared" si="14"/>
        <v>0</v>
      </c>
      <c r="M52" s="334">
        <f t="shared" si="1"/>
        <v>0</v>
      </c>
      <c r="N52" s="414">
        <f t="shared" si="15"/>
        <v>1569726.9240000001</v>
      </c>
      <c r="O52" s="334">
        <f t="shared" si="2"/>
        <v>1</v>
      </c>
      <c r="P52" s="35">
        <f>+'Prog 01'!Q52</f>
        <v>1546578.08</v>
      </c>
      <c r="Q52" s="35">
        <f ca="1">+'Prog 01'!R52</f>
        <v>0</v>
      </c>
      <c r="R52" s="334">
        <f t="shared" ca="1" si="3"/>
        <v>0</v>
      </c>
      <c r="S52" s="127"/>
      <c r="T52" s="122"/>
      <c r="U52" s="222"/>
      <c r="V52" s="223"/>
      <c r="W52" s="224"/>
      <c r="X52" s="138"/>
      <c r="Y52" s="138"/>
      <c r="Z52" s="142"/>
    </row>
    <row r="53" spans="2:26" ht="15" hidden="1" customHeight="1" outlineLevel="3" x14ac:dyDescent="0.25">
      <c r="B53" s="586"/>
      <c r="C53" s="32"/>
      <c r="D53" s="33"/>
      <c r="E53" s="34">
        <v>37</v>
      </c>
      <c r="F53" s="34" t="str">
        <f t="shared" si="17"/>
        <v>21.02.001.037</v>
      </c>
      <c r="G53" s="588" t="s">
        <v>40</v>
      </c>
      <c r="H53" s="35">
        <f>+VLOOKUP(F53,matriz01,3,FALSE)</f>
        <v>52034.044999999998</v>
      </c>
      <c r="I53" s="35">
        <f t="shared" si="12"/>
        <v>52034.044999999998</v>
      </c>
      <c r="J53" s="35">
        <f t="shared" ca="1" si="13"/>
        <v>0</v>
      </c>
      <c r="K53" s="334">
        <f t="shared" ca="1" si="0"/>
        <v>0</v>
      </c>
      <c r="L53" s="193">
        <f t="shared" si="14"/>
        <v>0</v>
      </c>
      <c r="M53" s="334">
        <f t="shared" si="1"/>
        <v>0</v>
      </c>
      <c r="N53" s="414">
        <f t="shared" si="15"/>
        <v>52034.044999999998</v>
      </c>
      <c r="O53" s="334">
        <f t="shared" si="2"/>
        <v>1</v>
      </c>
      <c r="P53" s="35">
        <f>+'Prog 01'!Q53</f>
        <v>0</v>
      </c>
      <c r="Q53" s="35">
        <f ca="1">+'Prog 01'!R53</f>
        <v>0</v>
      </c>
      <c r="R53" s="334" t="str">
        <f t="shared" ca="1" si="3"/>
        <v>0.00%</v>
      </c>
      <c r="S53" s="127"/>
      <c r="T53" s="122"/>
      <c r="U53" s="222"/>
      <c r="V53" s="223"/>
      <c r="W53" s="224"/>
      <c r="X53" s="138"/>
      <c r="Y53" s="138"/>
      <c r="Z53" s="142"/>
    </row>
    <row r="54" spans="2:26" ht="15" hidden="1" customHeight="1" outlineLevel="3" x14ac:dyDescent="0.25">
      <c r="B54" s="586"/>
      <c r="C54" s="32"/>
      <c r="D54" s="33"/>
      <c r="E54" s="34">
        <v>38</v>
      </c>
      <c r="F54" s="34" t="str">
        <f t="shared" si="17"/>
        <v>21.02.001.038</v>
      </c>
      <c r="G54" s="588" t="s">
        <v>101</v>
      </c>
      <c r="H54" s="35">
        <f>+VLOOKUP(F54,matriz01,3,FALSE)</f>
        <v>4188.01</v>
      </c>
      <c r="I54" s="35">
        <f t="shared" si="12"/>
        <v>4188.01</v>
      </c>
      <c r="J54" s="35">
        <f t="shared" ca="1" si="13"/>
        <v>1457.6559999999999</v>
      </c>
      <c r="K54" s="334">
        <f t="shared" ca="1" si="0"/>
        <v>0.34805456529473422</v>
      </c>
      <c r="L54" s="193">
        <f t="shared" si="14"/>
        <v>1457.6559999999999</v>
      </c>
      <c r="M54" s="334">
        <f t="shared" si="1"/>
        <v>0.34805456529473422</v>
      </c>
      <c r="N54" s="414">
        <f t="shared" si="15"/>
        <v>2730.3540000000003</v>
      </c>
      <c r="O54" s="334">
        <f t="shared" si="2"/>
        <v>0.65194543470526578</v>
      </c>
      <c r="P54" s="35">
        <f>+'Prog 01'!Q54</f>
        <v>724.95274400000005</v>
      </c>
      <c r="Q54" s="35">
        <f ca="1">+'Prog 01'!R54</f>
        <v>724.95274400000005</v>
      </c>
      <c r="R54" s="334">
        <f t="shared" ca="1" si="3"/>
        <v>1</v>
      </c>
      <c r="S54" s="127"/>
      <c r="T54" s="122"/>
      <c r="U54" s="222"/>
      <c r="V54" s="223"/>
      <c r="W54" s="224"/>
      <c r="X54" s="138"/>
      <c r="Y54" s="138"/>
      <c r="Z54" s="142"/>
    </row>
    <row r="55" spans="2:26" ht="15" hidden="1" customHeight="1" outlineLevel="3" x14ac:dyDescent="0.25">
      <c r="B55" s="586"/>
      <c r="C55" s="32"/>
      <c r="D55" s="33"/>
      <c r="E55" s="34">
        <v>998</v>
      </c>
      <c r="F55" s="34" t="str">
        <f t="shared" si="17"/>
        <v>21.02.001.0998</v>
      </c>
      <c r="G55" s="588" t="s">
        <v>832</v>
      </c>
      <c r="H55" s="35">
        <f>+'Prog 01'!I55</f>
        <v>0</v>
      </c>
      <c r="I55" s="35">
        <f t="shared" si="12"/>
        <v>0</v>
      </c>
      <c r="J55" s="35">
        <f ca="1">+'Prog 01'!K55</f>
        <v>0</v>
      </c>
      <c r="K55" s="334" t="str">
        <f t="shared" ca="1" si="0"/>
        <v>0.00%</v>
      </c>
      <c r="L55" s="35">
        <v>0</v>
      </c>
      <c r="M55" s="334">
        <f t="shared" si="1"/>
        <v>0</v>
      </c>
      <c r="N55" s="35">
        <f>+'Prog 01'!O55</f>
        <v>0</v>
      </c>
      <c r="O55" s="334">
        <f t="shared" si="2"/>
        <v>0</v>
      </c>
      <c r="P55" s="35">
        <f>+'Prog 01'!Q55</f>
        <v>114692.94</v>
      </c>
      <c r="Q55" s="35">
        <f ca="1">+'Prog 01'!R55</f>
        <v>0</v>
      </c>
      <c r="R55" s="334">
        <f t="shared" ca="1" si="3"/>
        <v>0</v>
      </c>
      <c r="S55" s="127"/>
      <c r="T55" s="122"/>
      <c r="U55" s="222"/>
      <c r="V55" s="223"/>
      <c r="W55" s="224"/>
      <c r="X55" s="138"/>
      <c r="Y55" s="138"/>
      <c r="Z55" s="142"/>
    </row>
    <row r="56" spans="2:26" ht="15" hidden="1" customHeight="1" outlineLevel="3" x14ac:dyDescent="0.25">
      <c r="B56" s="586"/>
      <c r="C56" s="32"/>
      <c r="D56" s="33"/>
      <c r="E56" s="34">
        <v>999</v>
      </c>
      <c r="F56" s="34" t="str">
        <f t="shared" si="17"/>
        <v>21.02.001.0999</v>
      </c>
      <c r="G56" s="588" t="s">
        <v>775</v>
      </c>
      <c r="H56" s="35">
        <v>0</v>
      </c>
      <c r="I56" s="35">
        <f t="shared" si="12"/>
        <v>0</v>
      </c>
      <c r="J56" s="35">
        <f ca="1">+VLOOKUP(F56,matriz01,5,FALSE)</f>
        <v>0</v>
      </c>
      <c r="K56" s="334" t="str">
        <f t="shared" ca="1" si="0"/>
        <v>0.00%</v>
      </c>
      <c r="L56" s="193">
        <f>+'Prog 01'!M55</f>
        <v>0</v>
      </c>
      <c r="M56" s="334">
        <f t="shared" si="1"/>
        <v>0</v>
      </c>
      <c r="N56" s="35">
        <f>+'Prog 01'!O56</f>
        <v>0</v>
      </c>
      <c r="O56" s="334">
        <f t="shared" si="2"/>
        <v>0</v>
      </c>
      <c r="P56" s="35">
        <f>+'Prog 01'!Q56</f>
        <v>0</v>
      </c>
      <c r="Q56" s="35">
        <f ca="1">+'Prog 01'!R56</f>
        <v>0</v>
      </c>
      <c r="R56" s="334" t="str">
        <f t="shared" ca="1" si="3"/>
        <v>0.00%</v>
      </c>
      <c r="S56" s="127"/>
      <c r="T56" s="122"/>
      <c r="U56" s="222"/>
      <c r="V56" s="223"/>
      <c r="W56" s="224"/>
      <c r="X56" s="138"/>
      <c r="Y56" s="138"/>
      <c r="Z56" s="142"/>
    </row>
    <row r="57" spans="2:26" s="58" customFormat="1" ht="15" hidden="1" customHeight="1" outlineLevel="2" x14ac:dyDescent="0.25">
      <c r="B57" s="586"/>
      <c r="C57" s="32"/>
      <c r="D57" s="33" t="s">
        <v>156</v>
      </c>
      <c r="E57" s="34"/>
      <c r="F57" s="34"/>
      <c r="G57" s="587" t="s">
        <v>28</v>
      </c>
      <c r="H57" s="36">
        <f>SUM(H58:H59)</f>
        <v>611349.11</v>
      </c>
      <c r="I57" s="35">
        <f>SUM(I58:I59)</f>
        <v>611349.11</v>
      </c>
      <c r="J57" s="36">
        <f ca="1">SUM(J58:J59)</f>
        <v>85428.329999999987</v>
      </c>
      <c r="K57" s="334">
        <f t="shared" ca="1" si="0"/>
        <v>0.1397373916190047</v>
      </c>
      <c r="L57" s="193">
        <f>SUM(L58:L59)</f>
        <v>85428.329999999987</v>
      </c>
      <c r="M57" s="334">
        <f t="shared" si="1"/>
        <v>0.1397373916190047</v>
      </c>
      <c r="N57" s="414">
        <f>SUM(N58:N59)</f>
        <v>525920.78</v>
      </c>
      <c r="O57" s="334">
        <f t="shared" si="2"/>
        <v>0.86026260838099533</v>
      </c>
      <c r="P57" s="35">
        <f>SUM(P58:P59)</f>
        <v>602880.36</v>
      </c>
      <c r="Q57" s="35">
        <f ca="1">SUM(Q58:Q59)</f>
        <v>88912.614809999999</v>
      </c>
      <c r="R57" s="334">
        <f t="shared" ca="1" si="3"/>
        <v>0.14747970030073629</v>
      </c>
      <c r="S57" s="127"/>
      <c r="T57" s="122"/>
      <c r="U57" s="222"/>
      <c r="V57" s="223"/>
      <c r="W57" s="224"/>
      <c r="X57" s="138"/>
      <c r="Y57" s="138"/>
      <c r="Z57" s="142"/>
    </row>
    <row r="58" spans="2:26" ht="15" hidden="1" customHeight="1" outlineLevel="3" x14ac:dyDescent="0.25">
      <c r="B58" s="586"/>
      <c r="C58" s="32"/>
      <c r="D58" s="33"/>
      <c r="E58" s="34">
        <v>1</v>
      </c>
      <c r="F58" s="34" t="str">
        <f>+CONCATENATE($B$10,"",$C$42,"",$D$57,"00",E58)</f>
        <v>21.02.002.001</v>
      </c>
      <c r="G58" s="588" t="s">
        <v>29</v>
      </c>
      <c r="H58" s="35">
        <f>+VLOOKUP(F58,matriz01,3,FALSE)</f>
        <v>45228.618999999999</v>
      </c>
      <c r="I58" s="35">
        <f>+VLOOKUP(F58,matriz01,4,FALSE)</f>
        <v>45228.618999999999</v>
      </c>
      <c r="J58" s="35">
        <f ca="1">+VLOOKUP(F58,matriz01,5,FALSE)</f>
        <v>4263.2939999999999</v>
      </c>
      <c r="K58" s="334">
        <f t="shared" ca="1" si="0"/>
        <v>9.4260981083680667E-2</v>
      </c>
      <c r="L58" s="193">
        <f>INDEX(coincidenciaP01,MATCH(F58,indicep01,0),7)</f>
        <v>4263.2939999999999</v>
      </c>
      <c r="M58" s="334">
        <f t="shared" si="1"/>
        <v>9.4260981083680667E-2</v>
      </c>
      <c r="N58" s="35">
        <f>INDEX(coincidenciaP01,MATCH(F58,indicep01,0),9)</f>
        <v>40965.324999999997</v>
      </c>
      <c r="O58" s="334">
        <f t="shared" si="2"/>
        <v>0.90573901891631925</v>
      </c>
      <c r="P58" s="35">
        <f>+'Prog 01'!Q58</f>
        <v>43930.720000000001</v>
      </c>
      <c r="Q58" s="35">
        <f ca="1">+'Prog 01'!R58</f>
        <v>8355.8532260000011</v>
      </c>
      <c r="R58" s="334">
        <f t="shared" ca="1" si="3"/>
        <v>0.19020524193548388</v>
      </c>
      <c r="S58" s="127"/>
      <c r="T58" s="122"/>
      <c r="U58" s="222"/>
      <c r="V58" s="223"/>
      <c r="W58" s="224"/>
      <c r="X58" s="138"/>
      <c r="Y58" s="138"/>
      <c r="Z58" s="142"/>
    </row>
    <row r="59" spans="2:26" ht="15" hidden="1" customHeight="1" outlineLevel="3" x14ac:dyDescent="0.25">
      <c r="B59" s="586"/>
      <c r="C59" s="32"/>
      <c r="D59" s="33"/>
      <c r="E59" s="34">
        <v>2</v>
      </c>
      <c r="F59" s="34" t="str">
        <f>+CONCATENATE($B$10,"",$C$42,"",$D$57,"00",E59)</f>
        <v>21.02.002.002</v>
      </c>
      <c r="G59" s="588" t="s">
        <v>30</v>
      </c>
      <c r="H59" s="35">
        <f>+VLOOKUP(F59,matriz01,3,FALSE)</f>
        <v>566120.49100000004</v>
      </c>
      <c r="I59" s="35">
        <f>+VLOOKUP(F59,matriz01,4,FALSE)</f>
        <v>566120.49100000004</v>
      </c>
      <c r="J59" s="35">
        <f ca="1">+VLOOKUP(F59,matriz01,5,FALSE)</f>
        <v>81165.035999999993</v>
      </c>
      <c r="K59" s="334">
        <f t="shared" ca="1" si="0"/>
        <v>0.14337060270796662</v>
      </c>
      <c r="L59" s="193">
        <f>INDEX(coincidenciaP01,MATCH(F59,indicep01,0),7)</f>
        <v>81165.035999999993</v>
      </c>
      <c r="M59" s="334">
        <f t="shared" si="1"/>
        <v>0.14337060270796662</v>
      </c>
      <c r="N59" s="414">
        <f>INDEX(coincidenciaP01,MATCH(F59,indicep01,0),9)</f>
        <v>484955.45500000007</v>
      </c>
      <c r="O59" s="334">
        <f t="shared" si="2"/>
        <v>0.85662939729203347</v>
      </c>
      <c r="P59" s="35">
        <f>+'Prog 01'!Q59</f>
        <v>558949.64</v>
      </c>
      <c r="Q59" s="35">
        <f ca="1">+'Prog 01'!R59</f>
        <v>80556.761583999993</v>
      </c>
      <c r="R59" s="334">
        <f t="shared" ca="1" si="3"/>
        <v>0.14412168077252896</v>
      </c>
      <c r="S59" s="127"/>
      <c r="T59" s="122"/>
      <c r="U59" s="222"/>
      <c r="V59" s="223"/>
      <c r="W59" s="224"/>
      <c r="X59" s="138"/>
      <c r="Y59" s="138"/>
      <c r="Z59" s="142"/>
    </row>
    <row r="60" spans="2:26" s="58" customFormat="1" ht="15" hidden="1" customHeight="1" outlineLevel="2" x14ac:dyDescent="0.25">
      <c r="B60" s="586"/>
      <c r="C60" s="32"/>
      <c r="D60" s="33" t="s">
        <v>157</v>
      </c>
      <c r="E60" s="34"/>
      <c r="F60" s="34"/>
      <c r="G60" s="587" t="s">
        <v>31</v>
      </c>
      <c r="H60" s="35">
        <f>SUM(H61:H62)</f>
        <v>1544483.2579999999</v>
      </c>
      <c r="I60" s="35">
        <f>SUM(I61:I63)</f>
        <v>1544483.2579999999</v>
      </c>
      <c r="J60" s="35">
        <f ca="1">SUM(J61:J63)</f>
        <v>0</v>
      </c>
      <c r="K60" s="334">
        <f t="shared" ca="1" si="0"/>
        <v>0</v>
      </c>
      <c r="L60" s="35">
        <f>SUM(L61:L63)</f>
        <v>0</v>
      </c>
      <c r="M60" s="334">
        <f t="shared" si="1"/>
        <v>0</v>
      </c>
      <c r="N60" s="35">
        <f>SUM(N61:N63)</f>
        <v>1544483.2579999999</v>
      </c>
      <c r="O60" s="334">
        <f t="shared" si="2"/>
        <v>1</v>
      </c>
      <c r="P60" s="35">
        <f>SUM(P61:P63)</f>
        <v>1485141.7600000002</v>
      </c>
      <c r="Q60" s="35">
        <f ca="1">SUM(Q61:Q63)</f>
        <v>0</v>
      </c>
      <c r="R60" s="334">
        <f t="shared" ca="1" si="3"/>
        <v>0</v>
      </c>
      <c r="S60" s="127"/>
      <c r="T60" s="122"/>
      <c r="U60" s="222"/>
      <c r="V60" s="223"/>
      <c r="W60" s="224"/>
      <c r="X60" s="138"/>
      <c r="Y60" s="138"/>
      <c r="Z60" s="142"/>
    </row>
    <row r="61" spans="2:26" ht="15" hidden="1" customHeight="1" outlineLevel="3" x14ac:dyDescent="0.25">
      <c r="B61" s="586"/>
      <c r="C61" s="32"/>
      <c r="D61" s="33"/>
      <c r="E61" s="34">
        <v>1</v>
      </c>
      <c r="F61" s="34" t="str">
        <f>+CONCATENATE($B$10,"",$C$42,"",$D$60,"00",E61)</f>
        <v>21.02.003.001</v>
      </c>
      <c r="G61" s="588" t="s">
        <v>32</v>
      </c>
      <c r="H61" s="35">
        <f>+VLOOKUP(F61,matriz01,3,FALSE)</f>
        <v>795328.06599999999</v>
      </c>
      <c r="I61" s="35">
        <f>+VLOOKUP(F61,matriz01,4,FALSE)</f>
        <v>795328.06599999999</v>
      </c>
      <c r="J61" s="35">
        <f ca="1">+VLOOKUP(F61,matriz01,5,FALSE)</f>
        <v>0</v>
      </c>
      <c r="K61" s="334">
        <f t="shared" ca="1" si="0"/>
        <v>0</v>
      </c>
      <c r="L61" s="193">
        <f>INDEX(coincidenciaP01,MATCH(F61,indicep01,0),7)</f>
        <v>0</v>
      </c>
      <c r="M61" s="334">
        <f t="shared" si="1"/>
        <v>0</v>
      </c>
      <c r="N61" s="414">
        <f>INDEX(coincidenciaP01,MATCH(F61,indicep01,0),9)</f>
        <v>795328.06599999999</v>
      </c>
      <c r="O61" s="334">
        <f t="shared" si="2"/>
        <v>1</v>
      </c>
      <c r="P61" s="35">
        <f>+'Prog 01'!Q61</f>
        <v>783604.84000000008</v>
      </c>
      <c r="Q61" s="35">
        <f ca="1">+'Prog 01'!R61</f>
        <v>0</v>
      </c>
      <c r="R61" s="334">
        <f t="shared" ca="1" si="3"/>
        <v>0</v>
      </c>
      <c r="S61" s="127"/>
      <c r="T61" s="122"/>
      <c r="U61" s="222"/>
      <c r="V61" s="223"/>
      <c r="W61" s="224"/>
      <c r="X61" s="138"/>
      <c r="Y61" s="138"/>
      <c r="Z61" s="142"/>
    </row>
    <row r="62" spans="2:26" ht="15" hidden="1" outlineLevel="3" x14ac:dyDescent="0.25">
      <c r="B62" s="586"/>
      <c r="C62" s="32"/>
      <c r="D62" s="33"/>
      <c r="E62" s="34">
        <v>2</v>
      </c>
      <c r="F62" s="34" t="str">
        <f>+CONCATENATE($B$10,"",$C$42,"",$D$60,"00",E62)</f>
        <v>21.02.003.002</v>
      </c>
      <c r="G62" s="588" t="s">
        <v>33</v>
      </c>
      <c r="H62" s="35">
        <f>+VLOOKUP(F62,matriz01,3,FALSE)</f>
        <v>749155.19200000004</v>
      </c>
      <c r="I62" s="35">
        <f>+VLOOKUP(F62,matriz01,4,FALSE)</f>
        <v>749155.19200000004</v>
      </c>
      <c r="J62" s="35">
        <f ca="1">+VLOOKUP(F62,matriz01,5,FALSE)</f>
        <v>0</v>
      </c>
      <c r="K62" s="334">
        <f t="shared" ca="1" si="0"/>
        <v>0</v>
      </c>
      <c r="L62" s="193">
        <f>INDEX(coincidenciaP01,MATCH(F62,indicep01,0),7)</f>
        <v>0</v>
      </c>
      <c r="M62" s="334">
        <f t="shared" si="1"/>
        <v>0</v>
      </c>
      <c r="N62" s="414">
        <f>INDEX(coincidenciaP01,MATCH(F62,indicep01,0),9)</f>
        <v>749155.19200000004</v>
      </c>
      <c r="O62" s="334">
        <f t="shared" si="2"/>
        <v>1</v>
      </c>
      <c r="P62" s="35">
        <f>+'Prog 01'!Q62</f>
        <v>701536.92</v>
      </c>
      <c r="Q62" s="35">
        <f ca="1">+'Prog 01'!R62</f>
        <v>0</v>
      </c>
      <c r="R62" s="334">
        <f t="shared" ca="1" si="3"/>
        <v>0</v>
      </c>
      <c r="S62" s="127"/>
      <c r="T62" s="122"/>
      <c r="U62" s="222"/>
      <c r="V62" s="223"/>
      <c r="W62" s="224"/>
      <c r="X62" s="138"/>
      <c r="Y62" s="138"/>
      <c r="Z62" s="142"/>
    </row>
    <row r="63" spans="2:26" ht="15" hidden="1" customHeight="1" outlineLevel="3" x14ac:dyDescent="0.25">
      <c r="B63" s="586"/>
      <c r="C63" s="32"/>
      <c r="D63" s="33"/>
      <c r="E63" s="34">
        <v>3</v>
      </c>
      <c r="F63" s="34" t="str">
        <f>+CONCATENATE($B$10,"",$C$42,"",$D$60,"00",E63)</f>
        <v>21.02.003.003</v>
      </c>
      <c r="G63" s="588" t="s">
        <v>776</v>
      </c>
      <c r="H63" s="35">
        <v>0</v>
      </c>
      <c r="I63" s="35">
        <f>+VLOOKUP(F63,matriz01,4,FALSE)</f>
        <v>0</v>
      </c>
      <c r="J63" s="35">
        <f ca="1">+VLOOKUP(F63,matriz01,5,FALSE)</f>
        <v>0</v>
      </c>
      <c r="K63" s="334" t="str">
        <f t="shared" ca="1" si="0"/>
        <v>0.00%</v>
      </c>
      <c r="L63" s="193">
        <f>INDEX(coincidenciaP01,MATCH(F63,indicep01,0),7)</f>
        <v>0</v>
      </c>
      <c r="M63" s="334">
        <f t="shared" si="1"/>
        <v>0</v>
      </c>
      <c r="N63" s="414">
        <f>INDEX(coincidenciaP01,MATCH(F63,indicep01,0),9)</f>
        <v>0</v>
      </c>
      <c r="O63" s="334">
        <f t="shared" si="2"/>
        <v>0</v>
      </c>
      <c r="P63" s="35">
        <f>+'Prog 01'!Q63</f>
        <v>0</v>
      </c>
      <c r="Q63" s="35">
        <f ca="1">+'Prog 01'!R63</f>
        <v>0</v>
      </c>
      <c r="R63" s="334" t="str">
        <f t="shared" ca="1" si="3"/>
        <v>0.00%</v>
      </c>
      <c r="S63" s="127"/>
      <c r="T63" s="122"/>
      <c r="U63" s="222"/>
      <c r="V63" s="223"/>
      <c r="W63" s="224"/>
      <c r="X63" s="138"/>
      <c r="Y63" s="138"/>
      <c r="Z63" s="142"/>
    </row>
    <row r="64" spans="2:26" s="58" customFormat="1" ht="15" hidden="1" customHeight="1" outlineLevel="2" x14ac:dyDescent="0.25">
      <c r="B64" s="586"/>
      <c r="C64" s="32"/>
      <c r="D64" s="33" t="s">
        <v>158</v>
      </c>
      <c r="E64" s="34"/>
      <c r="F64" s="34"/>
      <c r="G64" s="587" t="s">
        <v>34</v>
      </c>
      <c r="H64" s="35">
        <f>SUM(H65:H68)</f>
        <v>471035.58399999997</v>
      </c>
      <c r="I64" s="35">
        <f>SUM(I65:I68)</f>
        <v>471035.58399999997</v>
      </c>
      <c r="J64" s="35">
        <f ca="1">SUM(J65:J67)</f>
        <v>63076.043999999994</v>
      </c>
      <c r="K64" s="334">
        <f t="shared" ca="1" si="0"/>
        <v>0.13390929717955236</v>
      </c>
      <c r="L64" s="193">
        <f>SUM(L65:L67)</f>
        <v>63076.043999999994</v>
      </c>
      <c r="M64" s="334">
        <f t="shared" si="1"/>
        <v>0.13390929717955236</v>
      </c>
      <c r="N64" s="414">
        <f>SUM(N65:N68)</f>
        <v>407959.54</v>
      </c>
      <c r="O64" s="334">
        <f t="shared" si="2"/>
        <v>0.86609070282044764</v>
      </c>
      <c r="P64" s="35">
        <f>SUM(P65:P68)</f>
        <v>344246.06100000005</v>
      </c>
      <c r="Q64" s="35">
        <f ca="1">SUM(Q65:Q67)</f>
        <v>60215.00013600001</v>
      </c>
      <c r="R64" s="334">
        <f t="shared" ca="1" si="3"/>
        <v>0.17491848697144571</v>
      </c>
      <c r="S64" s="127"/>
      <c r="T64" s="122"/>
      <c r="U64" s="222"/>
      <c r="V64" s="223"/>
      <c r="W64" s="224"/>
      <c r="X64" s="138"/>
      <c r="Y64" s="138"/>
      <c r="Z64" s="142"/>
    </row>
    <row r="65" spans="2:26" ht="15" hidden="1" customHeight="1" outlineLevel="3" x14ac:dyDescent="0.25">
      <c r="B65" s="586"/>
      <c r="C65" s="32"/>
      <c r="D65" s="33"/>
      <c r="E65" s="34">
        <v>4</v>
      </c>
      <c r="F65" s="34" t="str">
        <f>+CONCATENATE($B$10,"",$C$42,"",$D$64,"00",E65)</f>
        <v>21.02.004.004</v>
      </c>
      <c r="G65" s="588" t="s">
        <v>35</v>
      </c>
      <c r="H65" s="35">
        <f>+VLOOKUP(F65,matriz01,3,FALSE)</f>
        <v>338878.78399999999</v>
      </c>
      <c r="I65" s="35">
        <f>+VLOOKUP(F65,matriz01,4,FALSE)</f>
        <v>338878.78399999999</v>
      </c>
      <c r="J65" s="35">
        <f ca="1">+VLOOKUP(F65,matriz01,5,FALSE)</f>
        <v>37278.487000000001</v>
      </c>
      <c r="K65" s="334">
        <f t="shared" ca="1" si="0"/>
        <v>0.11000537289463362</v>
      </c>
      <c r="L65" s="193">
        <f>INDEX(coincidenciaP01,MATCH(F65,indicep01,0),7)</f>
        <v>37278.487000000001</v>
      </c>
      <c r="M65" s="334">
        <f t="shared" si="1"/>
        <v>0.11000537289463362</v>
      </c>
      <c r="N65" s="35">
        <f>INDEX(coincidenciaP01,MATCH(F65,indicep01,0),9)</f>
        <v>301600.29699999996</v>
      </c>
      <c r="O65" s="334">
        <f t="shared" si="2"/>
        <v>0.88999462710536636</v>
      </c>
      <c r="P65" s="35">
        <f>+'Prog 01'!Q65</f>
        <v>211675.527</v>
      </c>
      <c r="Q65" s="35">
        <f ca="1">+'Prog 01'!R65</f>
        <v>38448.134884000006</v>
      </c>
      <c r="R65" s="334">
        <f t="shared" ca="1" si="3"/>
        <v>0.18163712843384114</v>
      </c>
      <c r="S65" s="127"/>
      <c r="T65" s="122"/>
      <c r="U65" s="222"/>
      <c r="V65" s="223"/>
      <c r="W65" s="224"/>
      <c r="X65" s="138"/>
      <c r="Y65" s="138"/>
      <c r="Z65" s="142"/>
    </row>
    <row r="66" spans="2:26" ht="15" hidden="1" customHeight="1" outlineLevel="3" x14ac:dyDescent="0.25">
      <c r="B66" s="586"/>
      <c r="C66" s="32"/>
      <c r="D66" s="33"/>
      <c r="E66" s="34">
        <v>5</v>
      </c>
      <c r="F66" s="34" t="str">
        <f>+CONCATENATE($B$10,"",$C$42,"",$D$64,"00",E66)</f>
        <v>21.02.004.005</v>
      </c>
      <c r="G66" s="588" t="s">
        <v>36</v>
      </c>
      <c r="H66" s="35">
        <f>+VLOOKUP(F66,matriz01,3,FALSE)</f>
        <v>56627.8</v>
      </c>
      <c r="I66" s="35">
        <f>+VLOOKUP(F66,matriz01,4,FALSE)</f>
        <v>56627.8</v>
      </c>
      <c r="J66" s="35">
        <f ca="1">+VLOOKUP(F66,matriz01,5,FALSE)</f>
        <v>8908.9330000000009</v>
      </c>
      <c r="K66" s="334">
        <f t="shared" ca="1" si="0"/>
        <v>0.15732437071544367</v>
      </c>
      <c r="L66" s="193">
        <f>INDEX(coincidenciaP01,MATCH(F66,indicep01,0),7)</f>
        <v>8908.9330000000009</v>
      </c>
      <c r="M66" s="334">
        <f t="shared" si="1"/>
        <v>0.15732437071544367</v>
      </c>
      <c r="N66" s="414">
        <f>INDEX(coincidenciaP01,MATCH(F66,indicep01,0),9)</f>
        <v>47718.866999999998</v>
      </c>
      <c r="O66" s="334">
        <f t="shared" si="2"/>
        <v>0.8426756292845563</v>
      </c>
      <c r="P66" s="35">
        <f>+'Prog 01'!Q66</f>
        <v>58387.428</v>
      </c>
      <c r="Q66" s="35">
        <f ca="1">+'Prog 01'!R66</f>
        <v>6163.2872459999999</v>
      </c>
      <c r="R66" s="334">
        <f t="shared" ca="1" si="3"/>
        <v>0.10555846450369419</v>
      </c>
      <c r="T66" s="122"/>
      <c r="U66" s="122"/>
      <c r="V66" s="144"/>
      <c r="W66" s="138"/>
      <c r="X66" s="138"/>
      <c r="Y66" s="138"/>
      <c r="Z66" s="142"/>
    </row>
    <row r="67" spans="2:26" ht="15" hidden="1" customHeight="1" outlineLevel="3" x14ac:dyDescent="0.25">
      <c r="B67" s="586"/>
      <c r="C67" s="32"/>
      <c r="D67" s="33"/>
      <c r="E67" s="34">
        <v>6</v>
      </c>
      <c r="F67" s="34" t="str">
        <f>+CONCATENATE($B$10,"",$C$42,"",$D$64,"00",E67)</f>
        <v>21.02.004.006</v>
      </c>
      <c r="G67" s="588" t="s">
        <v>37</v>
      </c>
      <c r="H67" s="35">
        <f>+VLOOKUP(F67,matriz01,3,FALSE)</f>
        <v>75029</v>
      </c>
      <c r="I67" s="35">
        <f>+VLOOKUP(F67,matriz01,4,FALSE)</f>
        <v>75029</v>
      </c>
      <c r="J67" s="35">
        <f ca="1">+VLOOKUP(F67,matriz01,5,FALSE)</f>
        <v>16888.624</v>
      </c>
      <c r="K67" s="334">
        <f t="shared" ca="1" si="0"/>
        <v>0.2250946167481907</v>
      </c>
      <c r="L67" s="193">
        <f>INDEX(coincidenciaP01,MATCH(F67,indicep01,0),7)</f>
        <v>16888.624</v>
      </c>
      <c r="M67" s="334">
        <f t="shared" si="1"/>
        <v>0.2250946167481907</v>
      </c>
      <c r="N67" s="414">
        <f>INDEX(coincidenciaP01,MATCH(F67,indicep01,0),9)</f>
        <v>58140.376000000004</v>
      </c>
      <c r="O67" s="334">
        <f t="shared" si="2"/>
        <v>0.77490538325180935</v>
      </c>
      <c r="P67" s="35">
        <f>+'Prog 01'!Q67</f>
        <v>73453.706000000006</v>
      </c>
      <c r="Q67" s="35">
        <f ca="1">+'Prog 01'!R67</f>
        <v>15603.578006000002</v>
      </c>
      <c r="R67" s="334">
        <f t="shared" ca="1" si="3"/>
        <v>0.21242737576780674</v>
      </c>
      <c r="T67" s="122"/>
      <c r="U67" s="122"/>
      <c r="V67" s="144"/>
      <c r="W67" s="138"/>
      <c r="X67" s="138"/>
      <c r="Y67" s="138"/>
      <c r="Z67" s="142"/>
    </row>
    <row r="68" spans="2:26" ht="15" hidden="1" customHeight="1" outlineLevel="3" x14ac:dyDescent="0.25">
      <c r="B68" s="586"/>
      <c r="C68" s="32"/>
      <c r="D68" s="33"/>
      <c r="E68" s="34">
        <v>7</v>
      </c>
      <c r="F68" s="34" t="str">
        <f>+CONCATENATE($B$10,"",$C$42,"",$D$64,"00",E68)</f>
        <v>21.02.004.007</v>
      </c>
      <c r="G68" s="588" t="s">
        <v>38</v>
      </c>
      <c r="H68" s="35">
        <f>+'Prog 01'!I68</f>
        <v>500</v>
      </c>
      <c r="I68" s="35">
        <f>+VLOOKUP(F68,matriz01,4,FALSE)</f>
        <v>500</v>
      </c>
      <c r="J68" s="35">
        <v>0</v>
      </c>
      <c r="K68" s="334">
        <f t="shared" si="0"/>
        <v>0</v>
      </c>
      <c r="L68" s="193">
        <v>0</v>
      </c>
      <c r="M68" s="334">
        <f t="shared" si="1"/>
        <v>0</v>
      </c>
      <c r="N68" s="414">
        <f>+I68-L68</f>
        <v>500</v>
      </c>
      <c r="O68" s="334">
        <f t="shared" si="2"/>
        <v>1</v>
      </c>
      <c r="P68" s="35">
        <f>+'Prog 01'!Q68</f>
        <v>729.4</v>
      </c>
      <c r="Q68" s="35">
        <v>0</v>
      </c>
      <c r="R68" s="334">
        <f t="shared" si="3"/>
        <v>0</v>
      </c>
      <c r="T68" s="122"/>
      <c r="U68" s="122"/>
      <c r="V68" s="144"/>
      <c r="W68" s="138"/>
      <c r="X68" s="138"/>
      <c r="Y68" s="138"/>
      <c r="Z68" s="142"/>
    </row>
    <row r="69" spans="2:26" s="58" customFormat="1" ht="15" hidden="1" customHeight="1" outlineLevel="2" x14ac:dyDescent="0.25">
      <c r="B69" s="586"/>
      <c r="C69" s="32"/>
      <c r="D69" s="33" t="s">
        <v>159</v>
      </c>
      <c r="E69" s="34"/>
      <c r="F69" s="34"/>
      <c r="G69" s="587" t="s">
        <v>34</v>
      </c>
      <c r="H69" s="35">
        <f>SUM(H70:H72)</f>
        <v>119357.391</v>
      </c>
      <c r="I69" s="35">
        <f>SUM(I70:I72)</f>
        <v>119357.391</v>
      </c>
      <c r="J69" s="35">
        <f ca="1">SUM(J70:J72)</f>
        <v>24079.041000000001</v>
      </c>
      <c r="K69" s="334">
        <f t="shared" ca="1" si="0"/>
        <v>0.20173900248875246</v>
      </c>
      <c r="L69" s="608">
        <f>SUM(L70:L72)</f>
        <v>24079.041000000001</v>
      </c>
      <c r="M69" s="334">
        <f t="shared" si="1"/>
        <v>0.20173900248875246</v>
      </c>
      <c r="N69" s="414">
        <f>SUM(N70:N72)</f>
        <v>95278.349999999991</v>
      </c>
      <c r="O69" s="334">
        <f t="shared" si="2"/>
        <v>0.79826099751124746</v>
      </c>
      <c r="P69" s="35">
        <f>SUM(P70:P72)</f>
        <v>89976.700000000012</v>
      </c>
      <c r="Q69" s="35">
        <f ca="1">SUM(Q70:Q72)</f>
        <v>0</v>
      </c>
      <c r="R69" s="334">
        <f t="shared" ca="1" si="3"/>
        <v>0</v>
      </c>
      <c r="S69" s="26"/>
      <c r="T69" s="122"/>
      <c r="U69" s="122"/>
      <c r="V69" s="144"/>
      <c r="W69" s="138"/>
      <c r="X69" s="138"/>
      <c r="Y69" s="138"/>
      <c r="Z69" s="142"/>
    </row>
    <row r="70" spans="2:26" ht="15" hidden="1" customHeight="1" outlineLevel="3" x14ac:dyDescent="0.25">
      <c r="B70" s="586"/>
      <c r="C70" s="32"/>
      <c r="D70" s="33"/>
      <c r="E70" s="34">
        <v>1</v>
      </c>
      <c r="F70" s="34" t="str">
        <f>+CONCATENATE($B$10,"",$C$42,"",$D$69,"00",E70)</f>
        <v>21.02.005.001</v>
      </c>
      <c r="G70" s="588" t="s">
        <v>95</v>
      </c>
      <c r="H70" s="35">
        <f>+VLOOKUP(F70,matriz01,3,FALSE)</f>
        <v>38806.478999999999</v>
      </c>
      <c r="I70" s="35">
        <f>+VLOOKUP(F70,matriz01,4,FALSE)</f>
        <v>38806.478999999999</v>
      </c>
      <c r="J70" s="35">
        <f ca="1">+VLOOKUP(F70,matriz01,5,FALSE)</f>
        <v>0</v>
      </c>
      <c r="K70" s="334">
        <f t="shared" ca="1" si="0"/>
        <v>0</v>
      </c>
      <c r="L70" s="35">
        <f>INDEX(coincidenciaP01,MATCH(F70,indicep01,0),7)</f>
        <v>0</v>
      </c>
      <c r="M70" s="334">
        <f t="shared" si="1"/>
        <v>0</v>
      </c>
      <c r="N70" s="414">
        <f>INDEX(coincidenciaP01,MATCH(F70,indicep01,0),9)</f>
        <v>38806.478999999999</v>
      </c>
      <c r="O70" s="334">
        <f t="shared" si="2"/>
        <v>1</v>
      </c>
      <c r="P70" s="35">
        <f>+'Prog 01'!Q70</f>
        <v>10.42</v>
      </c>
      <c r="Q70" s="35">
        <f ca="1">+'Prog 01'!R70</f>
        <v>0</v>
      </c>
      <c r="R70" s="334">
        <f t="shared" ca="1" si="3"/>
        <v>0</v>
      </c>
      <c r="T70" s="122"/>
      <c r="U70" s="122"/>
      <c r="V70" s="144"/>
      <c r="W70" s="138"/>
      <c r="X70" s="138"/>
      <c r="Y70" s="138"/>
      <c r="Z70" s="142"/>
    </row>
    <row r="71" spans="2:26" ht="15" hidden="1" customHeight="1" outlineLevel="3" x14ac:dyDescent="0.25">
      <c r="B71" s="586"/>
      <c r="C71" s="32"/>
      <c r="D71" s="33"/>
      <c r="E71" s="34">
        <v>2</v>
      </c>
      <c r="F71" s="34" t="str">
        <f>+CONCATENATE($B$10,"",$C$42,"",$D$69,"00",E71)</f>
        <v>21.02.005.002</v>
      </c>
      <c r="G71" s="588" t="s">
        <v>96</v>
      </c>
      <c r="H71" s="35">
        <f>+VLOOKUP(F71,matriz01,3,FALSE)</f>
        <v>18445.887999999999</v>
      </c>
      <c r="I71" s="35">
        <f>+VLOOKUP(F71,matriz01,4,FALSE)</f>
        <v>18445.887999999999</v>
      </c>
      <c r="J71" s="35">
        <f ca="1">+VLOOKUP(F71,matriz01,5,FALSE)</f>
        <v>0</v>
      </c>
      <c r="K71" s="334">
        <f t="shared" ca="1" si="0"/>
        <v>0</v>
      </c>
      <c r="L71" s="193">
        <f>INDEX(coincidenciaP01,MATCH(F71,indicep01,0),7)</f>
        <v>0</v>
      </c>
      <c r="M71" s="334">
        <f t="shared" si="1"/>
        <v>0</v>
      </c>
      <c r="N71" s="35">
        <f>INDEX(coincidenciaP01,MATCH(F71,indicep01,0),9)</f>
        <v>18445.887999999999</v>
      </c>
      <c r="O71" s="334">
        <f t="shared" si="2"/>
        <v>1</v>
      </c>
      <c r="P71" s="35">
        <f>+'Prog 01'!Q71</f>
        <v>18297.52</v>
      </c>
      <c r="Q71" s="35">
        <f ca="1">+'Prog 01'!R71</f>
        <v>0</v>
      </c>
      <c r="R71" s="334">
        <f t="shared" ca="1" si="3"/>
        <v>0</v>
      </c>
      <c r="T71" s="122"/>
      <c r="U71" s="122"/>
      <c r="V71" s="144"/>
      <c r="W71" s="138"/>
      <c r="X71" s="138"/>
      <c r="Y71" s="138"/>
      <c r="Z71" s="142"/>
    </row>
    <row r="72" spans="2:26" ht="15" hidden="1" customHeight="1" outlineLevel="3" x14ac:dyDescent="0.25">
      <c r="B72" s="586"/>
      <c r="C72" s="32"/>
      <c r="D72" s="33"/>
      <c r="E72" s="34">
        <v>3</v>
      </c>
      <c r="F72" s="34" t="str">
        <f>+CONCATENATE($B$10,"",$C$42,"",$D$69,"00",E72)</f>
        <v>21.02.005.003</v>
      </c>
      <c r="G72" s="588" t="s">
        <v>97</v>
      </c>
      <c r="H72" s="35">
        <f>+VLOOKUP(F72,matriz01,3,FALSE)</f>
        <v>62105.023999999998</v>
      </c>
      <c r="I72" s="35">
        <f>+VLOOKUP(F72,matriz01,4,FALSE)</f>
        <v>62105.023999999998</v>
      </c>
      <c r="J72" s="35">
        <f ca="1">+VLOOKUP(F72,matriz01,5,FALSE)</f>
        <v>24079.041000000001</v>
      </c>
      <c r="K72" s="334">
        <f t="shared" ca="1" si="0"/>
        <v>0.38771486506470076</v>
      </c>
      <c r="L72" s="193">
        <f>INDEX(coincidenciaP01,MATCH(F72,indicep01,0),7)</f>
        <v>24079.041000000001</v>
      </c>
      <c r="M72" s="334">
        <f t="shared" si="1"/>
        <v>0.38771486506470076</v>
      </c>
      <c r="N72" s="414">
        <f>INDEX(coincidenciaP01,MATCH(F72,indicep01,0),9)</f>
        <v>38025.982999999993</v>
      </c>
      <c r="O72" s="334">
        <f t="shared" si="2"/>
        <v>0.61228513493529924</v>
      </c>
      <c r="P72" s="35">
        <f>+'Prog 01'!Q72</f>
        <v>71668.760000000009</v>
      </c>
      <c r="Q72" s="35">
        <f ca="1">+'Prog 01'!R72</f>
        <v>0</v>
      </c>
      <c r="R72" s="334">
        <f t="shared" ca="1" si="3"/>
        <v>0</v>
      </c>
      <c r="T72" s="122"/>
      <c r="U72" s="122"/>
      <c r="V72" s="144"/>
      <c r="W72" s="138"/>
      <c r="X72" s="138"/>
      <c r="Y72" s="138"/>
      <c r="Z72" s="142"/>
    </row>
    <row r="73" spans="2:26" s="58" customFormat="1" ht="15" hidden="1" customHeight="1" outlineLevel="1" x14ac:dyDescent="0.25">
      <c r="B73" s="586"/>
      <c r="C73" s="32" t="s">
        <v>161</v>
      </c>
      <c r="D73" s="33"/>
      <c r="E73" s="34"/>
      <c r="F73" s="34"/>
      <c r="G73" s="587" t="s">
        <v>102</v>
      </c>
      <c r="H73" s="36">
        <f>+H74+H77+H78</f>
        <v>1131969.5630000001</v>
      </c>
      <c r="I73" s="35">
        <f>+I74+I77+I78+I79</f>
        <v>1131969.5630000001</v>
      </c>
      <c r="J73" s="35">
        <f ca="1">+J74+J77+J78+J79</f>
        <v>157169.98299999998</v>
      </c>
      <c r="K73" s="334">
        <f t="shared" ca="1" si="0"/>
        <v>0.13884647444358889</v>
      </c>
      <c r="L73" s="609">
        <f>+L74+L77+L78+L79</f>
        <v>157169.98300000001</v>
      </c>
      <c r="M73" s="334">
        <f t="shared" si="1"/>
        <v>0.13884647444358891</v>
      </c>
      <c r="N73" s="414">
        <f>+N74+N77+N78+N79</f>
        <v>974799.58000000007</v>
      </c>
      <c r="O73" s="334">
        <f t="shared" si="2"/>
        <v>0.86115352555641111</v>
      </c>
      <c r="P73" s="35">
        <f>+P74+P77+P78</f>
        <v>1119375.7940000002</v>
      </c>
      <c r="Q73" s="35">
        <f ca="1">+Q74+Q77+Q78</f>
        <v>188974.59940200002</v>
      </c>
      <c r="R73" s="334">
        <f t="shared" ref="R73:R138" ca="1" si="18">IFERROR(Q73/P73,"0.00%")</f>
        <v>0.1688214095882084</v>
      </c>
      <c r="S73" s="26"/>
      <c r="T73" s="122"/>
      <c r="U73" s="122"/>
      <c r="V73" s="144"/>
      <c r="W73" s="138"/>
      <c r="X73" s="138"/>
      <c r="Y73" s="138"/>
      <c r="Z73" s="142"/>
    </row>
    <row r="74" spans="2:26" s="58" customFormat="1" ht="15" hidden="1" customHeight="1" outlineLevel="2" x14ac:dyDescent="0.25">
      <c r="B74" s="586"/>
      <c r="C74" s="32"/>
      <c r="D74" s="33" t="s">
        <v>154</v>
      </c>
      <c r="E74" s="34"/>
      <c r="F74" s="34"/>
      <c r="G74" s="587" t="s">
        <v>41</v>
      </c>
      <c r="H74" s="36">
        <f>SUM(H75:H76)</f>
        <v>1038046</v>
      </c>
      <c r="I74" s="35">
        <f>SUM(I75:I76)</f>
        <v>1038046</v>
      </c>
      <c r="J74" s="36">
        <f ca="1">SUM(J75:J76)</f>
        <v>150193.90899999999</v>
      </c>
      <c r="K74" s="334">
        <f t="shared" ca="1" si="0"/>
        <v>0.14468906869252421</v>
      </c>
      <c r="L74" s="609">
        <f>SUM(L75:L76)</f>
        <v>150193.90900000001</v>
      </c>
      <c r="M74" s="334">
        <f t="shared" si="1"/>
        <v>0.14468906869252424</v>
      </c>
      <c r="N74" s="414">
        <f>SUM(N75:N76)</f>
        <v>887852.09100000001</v>
      </c>
      <c r="O74" s="334">
        <f t="shared" si="2"/>
        <v>0.85531093130747582</v>
      </c>
      <c r="P74" s="35">
        <f>SUM(P75:P76)</f>
        <v>1051461.3600000001</v>
      </c>
      <c r="Q74" s="35">
        <f ca="1">SUM(Q75:Q76)</f>
        <v>169127.72335000001</v>
      </c>
      <c r="R74" s="334">
        <f t="shared" ca="1" si="18"/>
        <v>0.16085015558726762</v>
      </c>
      <c r="S74" s="26"/>
      <c r="T74" s="122"/>
      <c r="U74" s="122"/>
      <c r="V74" s="144"/>
      <c r="W74" s="138"/>
      <c r="X74" s="138"/>
      <c r="Y74" s="138"/>
      <c r="Z74" s="142"/>
    </row>
    <row r="75" spans="2:26" ht="15" hidden="1" customHeight="1" outlineLevel="2" x14ac:dyDescent="0.25">
      <c r="B75" s="586"/>
      <c r="C75" s="32"/>
      <c r="D75" s="33"/>
      <c r="E75" s="34">
        <v>1</v>
      </c>
      <c r="F75" s="34" t="str">
        <f>+CONCATENATE($B$10,"",$C$73,"",$D$74,"00",E75)</f>
        <v>21.03.001.001</v>
      </c>
      <c r="G75" s="588" t="s">
        <v>42</v>
      </c>
      <c r="H75" s="35">
        <f>+VLOOKUP(F75,matriz01,3,FALSE)</f>
        <v>1018733</v>
      </c>
      <c r="I75" s="35">
        <f>+VLOOKUP(F75,matriz01,4,FALSE)</f>
        <v>1018733</v>
      </c>
      <c r="J75" s="35">
        <f ca="1">+VLOOKUP(F75,matriz01,5,FALSE)</f>
        <v>148388.24599999998</v>
      </c>
      <c r="K75" s="334">
        <f t="shared" ref="K75:K82" ca="1" si="19">IFERROR(J75/I75,"0.00%")</f>
        <v>0.14565960462653119</v>
      </c>
      <c r="L75" s="193">
        <f>INDEX(coincidenciaP01,MATCH(F75,indicep01,0),7)</f>
        <v>148388.24600000001</v>
      </c>
      <c r="M75" s="334">
        <f t="shared" ref="M75:M82" si="20">+IFERROR(L75/I75,0)</f>
        <v>0.14565960462653121</v>
      </c>
      <c r="N75" s="414">
        <f>INDEX(coincidenciaP01,MATCH(F75,indicep01,0),9)</f>
        <v>870344.75399999996</v>
      </c>
      <c r="O75" s="334">
        <f t="shared" ref="O75:O83" si="21">+IFERROR(N75/I75,0)</f>
        <v>0.85434039537346873</v>
      </c>
      <c r="P75" s="35">
        <f>+'Prog 01'!Q75</f>
        <v>1033317.0140000001</v>
      </c>
      <c r="Q75" s="35">
        <f ca="1">+'Prog 01'!R75</f>
        <v>165541.44069000002</v>
      </c>
      <c r="R75" s="334">
        <f t="shared" ca="1" si="18"/>
        <v>0.16020392430120192</v>
      </c>
      <c r="T75" s="122"/>
      <c r="U75" s="122"/>
      <c r="V75" s="144"/>
      <c r="W75" s="138"/>
      <c r="X75" s="138"/>
      <c r="Y75" s="138"/>
      <c r="Z75" s="142"/>
    </row>
    <row r="76" spans="2:26" ht="15" hidden="1" customHeight="1" outlineLevel="2" x14ac:dyDescent="0.25">
      <c r="B76" s="586"/>
      <c r="C76" s="32"/>
      <c r="D76" s="33"/>
      <c r="E76" s="34">
        <v>2</v>
      </c>
      <c r="F76" s="34" t="str">
        <f>+CONCATENATE($B$10,"",$C$73,"",$D$74,"00",E76)</f>
        <v>21.03.001.002</v>
      </c>
      <c r="G76" s="588" t="s">
        <v>43</v>
      </c>
      <c r="H76" s="35">
        <f>+VLOOKUP(F76,matriz01,3,FALSE)</f>
        <v>19313</v>
      </c>
      <c r="I76" s="35">
        <f>+VLOOKUP(F76,matriz01,4,FALSE)</f>
        <v>19313</v>
      </c>
      <c r="J76" s="35">
        <f ca="1">+VLOOKUP(F76,matriz01,5,FALSE)</f>
        <v>1805.663</v>
      </c>
      <c r="K76" s="334">
        <f t="shared" ca="1" si="19"/>
        <v>9.3494692694040288E-2</v>
      </c>
      <c r="L76" s="193">
        <f>INDEX(coincidenciaP01,MATCH(F76,indicep01,0),7)</f>
        <v>1805.663</v>
      </c>
      <c r="M76" s="334">
        <f t="shared" si="20"/>
        <v>9.3494692694040288E-2</v>
      </c>
      <c r="N76" s="414">
        <f>INDEX(coincidenciaP01,MATCH(F76,indicep01,0),9)</f>
        <v>17507.337</v>
      </c>
      <c r="O76" s="334">
        <f t="shared" si="21"/>
        <v>0.90650530730595968</v>
      </c>
      <c r="P76" s="35">
        <f>+'Prog 01'!Q76</f>
        <v>18144.346000000001</v>
      </c>
      <c r="Q76" s="35">
        <f ca="1">+'Prog 01'!R76</f>
        <v>3586.2826599999999</v>
      </c>
      <c r="R76" s="334">
        <f t="shared" ca="1" si="18"/>
        <v>0.19765290300350311</v>
      </c>
      <c r="T76" s="122"/>
      <c r="U76" s="122"/>
      <c r="V76" s="144"/>
      <c r="W76" s="138"/>
      <c r="X76" s="138"/>
      <c r="Y76" s="138"/>
      <c r="Z76" s="142"/>
    </row>
    <row r="77" spans="2:26" ht="15" hidden="1" customHeight="1" outlineLevel="2" x14ac:dyDescent="0.25">
      <c r="B77" s="586"/>
      <c r="C77" s="32"/>
      <c r="D77" s="37" t="s">
        <v>324</v>
      </c>
      <c r="E77" s="34"/>
      <c r="F77" s="34" t="str">
        <f>+CONCATENATE($B$10,"",$C$73,D77)</f>
        <v>21.03.005</v>
      </c>
      <c r="G77" s="588" t="s">
        <v>323</v>
      </c>
      <c r="H77" s="35">
        <f>+'Prog 01'!I77</f>
        <v>93923.562999999995</v>
      </c>
      <c r="I77" s="35">
        <f>+VLOOKUP(F77,matriz01,4,FALSE)</f>
        <v>93923.562999999995</v>
      </c>
      <c r="J77" s="35">
        <f ca="1">+'Prog 01'!K77</f>
        <v>6976.0740000000005</v>
      </c>
      <c r="K77" s="334">
        <f t="shared" ca="1" si="19"/>
        <v>7.4273949764874239E-2</v>
      </c>
      <c r="L77" s="193">
        <f>INDEX(coincidenciaP01,MATCH(F77,indicep01,0),7)</f>
        <v>6976.0739999999996</v>
      </c>
      <c r="M77" s="334">
        <f t="shared" si="20"/>
        <v>7.4273949764874225E-2</v>
      </c>
      <c r="N77" s="414">
        <f>+'Prog 01'!O77</f>
        <v>86947.489000000001</v>
      </c>
      <c r="O77" s="334">
        <f t="shared" si="21"/>
        <v>0.92572605023512589</v>
      </c>
      <c r="P77" s="35">
        <f>+'Prog 01'!Q77</f>
        <v>67914.434000000008</v>
      </c>
      <c r="Q77" s="35">
        <f ca="1">+'Prog 01'!R77</f>
        <v>19846.876052</v>
      </c>
      <c r="R77" s="334">
        <f t="shared" ca="1" si="18"/>
        <v>0.29223354864446044</v>
      </c>
      <c r="T77" s="122"/>
      <c r="U77" s="122"/>
      <c r="V77" s="144"/>
      <c r="W77" s="138"/>
      <c r="X77" s="138"/>
      <c r="Y77" s="138"/>
      <c r="Z77" s="142"/>
    </row>
    <row r="78" spans="2:26" ht="15" hidden="1" customHeight="1" outlineLevel="2" x14ac:dyDescent="0.25">
      <c r="B78" s="586"/>
      <c r="C78" s="32"/>
      <c r="D78" s="37"/>
      <c r="E78" s="34"/>
      <c r="F78" s="34" t="s">
        <v>753</v>
      </c>
      <c r="G78" s="588" t="s">
        <v>309</v>
      </c>
      <c r="H78" s="35">
        <f>+'Prog 01'!I78</f>
        <v>0</v>
      </c>
      <c r="I78" s="35">
        <f>+VLOOKUP(F78,matriz01,4,FALSE)</f>
        <v>0</v>
      </c>
      <c r="J78" s="35">
        <f ca="1">+'Prog 01'!K78</f>
        <v>0</v>
      </c>
      <c r="K78" s="334" t="str">
        <f t="shared" ca="1" si="19"/>
        <v>0.00%</v>
      </c>
      <c r="L78" s="193">
        <f>INDEX(coincidenciaP01,MATCH(F78,indicep01,0),7)</f>
        <v>0</v>
      </c>
      <c r="M78" s="334">
        <f t="shared" si="20"/>
        <v>0</v>
      </c>
      <c r="N78" s="35">
        <f>+'Prog 01'!O78</f>
        <v>0</v>
      </c>
      <c r="O78" s="334">
        <f t="shared" si="21"/>
        <v>0</v>
      </c>
      <c r="P78" s="35">
        <f>+'Prog 01'!Q78</f>
        <v>0</v>
      </c>
      <c r="Q78" s="35">
        <f ca="1">+'Prog 01'!R78</f>
        <v>0</v>
      </c>
      <c r="R78" s="334" t="str">
        <f t="shared" ca="1" si="18"/>
        <v>0.00%</v>
      </c>
      <c r="T78" s="122"/>
      <c r="U78" s="122"/>
      <c r="V78" s="144"/>
      <c r="W78" s="138"/>
      <c r="X78" s="138"/>
      <c r="Y78" s="138"/>
      <c r="Z78" s="142"/>
    </row>
    <row r="79" spans="2:26" ht="15" hidden="1" customHeight="1" outlineLevel="2" x14ac:dyDescent="0.25">
      <c r="B79" s="586"/>
      <c r="C79" s="32"/>
      <c r="D79" s="37" t="s">
        <v>175</v>
      </c>
      <c r="E79" s="34"/>
      <c r="F79" s="34" t="s">
        <v>995</v>
      </c>
      <c r="G79" s="588" t="s">
        <v>994</v>
      </c>
      <c r="H79" s="35">
        <v>0</v>
      </c>
      <c r="I79" s="35">
        <f>+'Prog 01'!J79</f>
        <v>0</v>
      </c>
      <c r="J79" s="35">
        <f ca="1">+'Prog 01'!K79</f>
        <v>0</v>
      </c>
      <c r="K79" s="334" t="str">
        <f t="shared" ca="1" si="19"/>
        <v>0.00%</v>
      </c>
      <c r="L79" s="35">
        <f>+'Prog 01'!M79</f>
        <v>0</v>
      </c>
      <c r="M79" s="334">
        <f t="shared" si="20"/>
        <v>0</v>
      </c>
      <c r="N79" s="35">
        <f>+'Prog 01'!O79</f>
        <v>0</v>
      </c>
      <c r="O79" s="334">
        <f t="shared" si="21"/>
        <v>0</v>
      </c>
      <c r="P79" s="35">
        <v>0</v>
      </c>
      <c r="Q79" s="35">
        <v>0</v>
      </c>
      <c r="R79" s="334" t="str">
        <f t="shared" si="18"/>
        <v>0.00%</v>
      </c>
      <c r="T79" s="122"/>
      <c r="U79" s="122"/>
      <c r="V79" s="144"/>
      <c r="W79" s="138"/>
      <c r="X79" s="138"/>
      <c r="Y79" s="138"/>
      <c r="Z79" s="142"/>
    </row>
    <row r="80" spans="2:26" ht="15" customHeight="1" collapsed="1" x14ac:dyDescent="0.25">
      <c r="B80" s="586">
        <v>22</v>
      </c>
      <c r="C80" s="32"/>
      <c r="D80" s="33"/>
      <c r="E80" s="34"/>
      <c r="F80" s="34"/>
      <c r="G80" s="587" t="s">
        <v>15</v>
      </c>
      <c r="H80" s="35">
        <f>+H83+H87+H89+H103+H112+H120+H123+H131+H136+H139+H144+H81</f>
        <v>2943989</v>
      </c>
      <c r="I80" s="35">
        <f t="shared" ref="I80:N80" si="22">+I83+I87+I89+I103+I112+I120+I123+I131+I136+I139+I144+I81</f>
        <v>2796789</v>
      </c>
      <c r="J80" s="35">
        <f t="shared" ca="1" si="22"/>
        <v>172037.897</v>
      </c>
      <c r="K80" s="334">
        <f t="shared" ca="1" si="19"/>
        <v>6.1512647897285062E-2</v>
      </c>
      <c r="L80" s="35">
        <f t="shared" si="22"/>
        <v>2312863.0699999998</v>
      </c>
      <c r="M80" s="334">
        <f t="shared" si="20"/>
        <v>0.82697088339520786</v>
      </c>
      <c r="N80" s="35">
        <f t="shared" si="22"/>
        <v>483925.93000000011</v>
      </c>
      <c r="O80" s="334">
        <f t="shared" si="21"/>
        <v>0.17302911660479217</v>
      </c>
      <c r="P80" s="35">
        <f>+P83+P87+P89+P103+P112+P120+P123+P131+P136+P139+P144</f>
        <v>2641538.7720000003</v>
      </c>
      <c r="Q80" s="35">
        <f ca="1">+Q83+Q87+Q89+Q103+Q112+Q120+Q123+Q131+Q136+Q139+Q144</f>
        <v>191538.169482</v>
      </c>
      <c r="R80" s="334">
        <f ca="1">IFERROR(Q80/P80,"0.00%")</f>
        <v>7.2510073110522558E-2</v>
      </c>
      <c r="T80" s="122"/>
      <c r="U80" s="144"/>
      <c r="V80" s="144"/>
      <c r="W80" s="138"/>
      <c r="X80" s="138"/>
      <c r="Y80" s="138"/>
      <c r="Z80" s="142"/>
    </row>
    <row r="81" spans="2:26" ht="15" hidden="1" customHeight="1" x14ac:dyDescent="0.25">
      <c r="B81" s="586"/>
      <c r="C81" s="32" t="s">
        <v>302</v>
      </c>
      <c r="D81" s="33"/>
      <c r="E81" s="34"/>
      <c r="F81" s="34" t="str">
        <f>+CONCATENATE($B$80,"",$C$81,"",D81)</f>
        <v>22.01</v>
      </c>
      <c r="G81" s="587" t="s">
        <v>1066</v>
      </c>
      <c r="H81" s="35">
        <f>+'Prog 01'!I81</f>
        <v>0</v>
      </c>
      <c r="I81" s="35">
        <f>+'Prog 01'!J81</f>
        <v>150</v>
      </c>
      <c r="J81" s="35">
        <f ca="1">+'Prog 01'!K81</f>
        <v>0</v>
      </c>
      <c r="K81" s="334">
        <f t="shared" ca="1" si="19"/>
        <v>0</v>
      </c>
      <c r="L81" s="35">
        <f>+'Prog 01'!M81</f>
        <v>149.999</v>
      </c>
      <c r="M81" s="334">
        <f t="shared" si="20"/>
        <v>0.99999333333333329</v>
      </c>
      <c r="N81" s="35">
        <f>+'Prog 01'!O81</f>
        <v>1.0000000000047748E-3</v>
      </c>
      <c r="O81" s="334">
        <f t="shared" si="21"/>
        <v>6.666666666698499E-6</v>
      </c>
      <c r="P81" s="35">
        <v>0</v>
      </c>
      <c r="Q81" s="35">
        <v>0</v>
      </c>
      <c r="R81" s="334">
        <v>0</v>
      </c>
      <c r="T81" s="122"/>
      <c r="U81" s="144"/>
      <c r="V81" s="144"/>
      <c r="W81" s="138"/>
      <c r="X81" s="138"/>
      <c r="Y81" s="138"/>
      <c r="Z81" s="142"/>
    </row>
    <row r="82" spans="2:26" ht="15" hidden="1" customHeight="1" x14ac:dyDescent="0.25">
      <c r="B82" s="586"/>
      <c r="C82" s="32"/>
      <c r="D82" s="33" t="s">
        <v>167</v>
      </c>
      <c r="E82" s="34"/>
      <c r="F82" s="34" t="str">
        <f>+CONCATENATE($B$80,"",$C$81,"",D82)</f>
        <v>22.01.001</v>
      </c>
      <c r="G82" s="588" t="s">
        <v>1067</v>
      </c>
      <c r="H82" s="35">
        <f>+'Prog 01'!I82</f>
        <v>0</v>
      </c>
      <c r="I82" s="35">
        <f>+'Prog 01'!J82</f>
        <v>150</v>
      </c>
      <c r="J82" s="35">
        <f ca="1">+'Prog 01'!K82</f>
        <v>0</v>
      </c>
      <c r="K82" s="334">
        <f t="shared" ca="1" si="19"/>
        <v>0</v>
      </c>
      <c r="L82" s="35">
        <f>+'Prog 01'!M82</f>
        <v>149.999</v>
      </c>
      <c r="M82" s="334">
        <f t="shared" si="20"/>
        <v>0.99999333333333329</v>
      </c>
      <c r="N82" s="35">
        <f>+'Prog 01'!O82</f>
        <v>1.0000000000047748E-3</v>
      </c>
      <c r="O82" s="334">
        <f t="shared" si="21"/>
        <v>6.666666666698499E-6</v>
      </c>
      <c r="P82" s="35">
        <v>0</v>
      </c>
      <c r="Q82" s="35">
        <v>0</v>
      </c>
      <c r="R82" s="334">
        <v>0</v>
      </c>
      <c r="T82" s="122"/>
      <c r="U82" s="144"/>
      <c r="V82" s="144"/>
      <c r="W82" s="138"/>
      <c r="X82" s="138"/>
      <c r="Y82" s="138"/>
      <c r="Z82" s="142"/>
    </row>
    <row r="83" spans="2:26" ht="15" hidden="1" customHeight="1" outlineLevel="1" x14ac:dyDescent="0.25">
      <c r="B83" s="586"/>
      <c r="C83" s="32" t="s">
        <v>162</v>
      </c>
      <c r="D83" s="33"/>
      <c r="E83" s="34"/>
      <c r="F83" s="34" t="str">
        <f t="shared" ref="F83" si="23">+CONCATENATE($B$80,"",$C$83,"",D83)</f>
        <v>22.02</v>
      </c>
      <c r="G83" s="587" t="s">
        <v>44</v>
      </c>
      <c r="H83" s="35">
        <f>+H85+H86</f>
        <v>23000</v>
      </c>
      <c r="I83" s="35">
        <f>+I85+I86+I84</f>
        <v>23000</v>
      </c>
      <c r="J83" s="35">
        <f ca="1">+J85+J86+J84</f>
        <v>7179.3919999999998</v>
      </c>
      <c r="K83" s="334">
        <f t="shared" ref="K83:K121" ca="1" si="24">IFERROR(J83/I83,"0.00%")</f>
        <v>0.31214747826086958</v>
      </c>
      <c r="L83" s="608">
        <f>+L85+L86+L84</f>
        <v>7179.3919999999998</v>
      </c>
      <c r="M83" s="334">
        <f t="shared" ref="M83:M140" si="25">+IFERROR(L83/I83,0)</f>
        <v>0.31214747826086958</v>
      </c>
      <c r="N83" s="414">
        <f>+N85+N86</f>
        <v>15820.608</v>
      </c>
      <c r="O83" s="334">
        <f t="shared" si="21"/>
        <v>0.68785252173913047</v>
      </c>
      <c r="P83" s="35">
        <f>+P85+P86+P84</f>
        <v>28011.907818</v>
      </c>
      <c r="Q83" s="35">
        <f ca="1">+Q85+Q86+Q84</f>
        <v>6446.1600280000002</v>
      </c>
      <c r="R83" s="334">
        <f t="shared" ca="1" si="18"/>
        <v>0.2301221348393058</v>
      </c>
      <c r="T83" s="122"/>
      <c r="V83" s="144"/>
      <c r="W83" s="138"/>
      <c r="X83" s="138"/>
      <c r="Y83" s="138"/>
      <c r="Z83" s="142"/>
    </row>
    <row r="84" spans="2:26" ht="15" hidden="1" customHeight="1" outlineLevel="1" x14ac:dyDescent="0.25">
      <c r="B84" s="586"/>
      <c r="C84" s="32"/>
      <c r="D84" s="33" t="s">
        <v>167</v>
      </c>
      <c r="E84" s="34"/>
      <c r="F84" s="34" t="str">
        <f>+CONCATENATE($B$80,"",$C$83,"",D84)</f>
        <v>22.02.001</v>
      </c>
      <c r="G84" s="587" t="s">
        <v>454</v>
      </c>
      <c r="H84" s="35">
        <f>+VLOOKUP(F84,matriz01,3,FALSE)</f>
        <v>0</v>
      </c>
      <c r="I84" s="35">
        <f>+VLOOKUP(F84,matriz01,4,FALSE)</f>
        <v>0</v>
      </c>
      <c r="J84" s="35">
        <f ca="1">+VLOOKUP(F84,matriz01,5,FALSE)</f>
        <v>0</v>
      </c>
      <c r="K84" s="334" t="str">
        <f t="shared" ca="1" si="24"/>
        <v>0.00%</v>
      </c>
      <c r="L84" s="193">
        <f>INDEX(coincidenciaP01,MATCH(F84,indicep01,0),7)</f>
        <v>0</v>
      </c>
      <c r="M84" s="334">
        <f t="shared" si="25"/>
        <v>0</v>
      </c>
      <c r="N84" s="35">
        <f>INDEX(coincidenciaP01,MATCH(F84,indicep01,0),9)</f>
        <v>0</v>
      </c>
      <c r="O84" s="334">
        <f t="shared" ref="O84:O140" si="26">+IFERROR(N84/I84,0)</f>
        <v>0</v>
      </c>
      <c r="P84" s="35">
        <f>+'Prog 01'!Q84</f>
        <v>0</v>
      </c>
      <c r="Q84" s="35">
        <f ca="1">+'Prog 01'!R84</f>
        <v>0</v>
      </c>
      <c r="R84" s="334" t="str">
        <f t="shared" ca="1" si="18"/>
        <v>0.00%</v>
      </c>
      <c r="T84" s="122"/>
      <c r="V84" s="144"/>
      <c r="W84" s="138"/>
      <c r="X84" s="138"/>
      <c r="Y84" s="138"/>
      <c r="Z84" s="142"/>
    </row>
    <row r="85" spans="2:26" ht="15" hidden="1" customHeight="1" outlineLevel="2" x14ac:dyDescent="0.25">
      <c r="B85" s="586"/>
      <c r="C85" s="32"/>
      <c r="D85" s="33" t="s">
        <v>163</v>
      </c>
      <c r="E85" s="34"/>
      <c r="F85" s="34" t="str">
        <f>+CONCATENATE($B$80,"",$C$83,"",D85)</f>
        <v>22.02.002</v>
      </c>
      <c r="G85" s="588" t="s">
        <v>45</v>
      </c>
      <c r="H85" s="35">
        <f>+VLOOKUP(F85,matriz01,3,FALSE)</f>
        <v>18000</v>
      </c>
      <c r="I85" s="35">
        <f>+VLOOKUP(F85,matriz01,4,FALSE)</f>
        <v>18000</v>
      </c>
      <c r="J85" s="35">
        <f ca="1">+VLOOKUP(F85,matriz01,5,FALSE)</f>
        <v>5947.5680000000002</v>
      </c>
      <c r="K85" s="334">
        <f t="shared" ca="1" si="24"/>
        <v>0.33042044444444446</v>
      </c>
      <c r="L85" s="193">
        <f>INDEX(coincidenciaP01,MATCH(F85,indicep01,0),7)</f>
        <v>5947.5680000000002</v>
      </c>
      <c r="M85" s="334">
        <f t="shared" si="25"/>
        <v>0.33042044444444446</v>
      </c>
      <c r="N85" s="414">
        <f>INDEX(coincidenciaP01,MATCH(F85,indicep01,0),9)</f>
        <v>12052.432000000001</v>
      </c>
      <c r="O85" s="334">
        <f t="shared" si="26"/>
        <v>0.66957955555555559</v>
      </c>
      <c r="P85" s="35">
        <f>+'Prog 01'!Q85</f>
        <v>18615.017400000001</v>
      </c>
      <c r="Q85" s="35">
        <f ca="1">+'Prog 01'!R85</f>
        <v>644.16961000000003</v>
      </c>
      <c r="R85" s="334">
        <f t="shared" ca="1" si="18"/>
        <v>3.4604835233729085E-2</v>
      </c>
      <c r="T85" s="122"/>
      <c r="V85" s="144"/>
      <c r="W85" s="138"/>
      <c r="X85" s="138"/>
      <c r="Y85" s="138"/>
      <c r="Z85" s="142"/>
    </row>
    <row r="86" spans="2:26" ht="15" hidden="1" customHeight="1" outlineLevel="2" x14ac:dyDescent="0.25">
      <c r="B86" s="586"/>
      <c r="C86" s="32"/>
      <c r="D86" s="33" t="s">
        <v>164</v>
      </c>
      <c r="E86" s="34"/>
      <c r="F86" s="34" t="str">
        <f>+CONCATENATE($B$80,"",$C$83,"",D86)</f>
        <v>22.02.003</v>
      </c>
      <c r="G86" s="588" t="s">
        <v>125</v>
      </c>
      <c r="H86" s="35">
        <f>+VLOOKUP(F86,matriz01,3,FALSE)</f>
        <v>5000</v>
      </c>
      <c r="I86" s="35">
        <f>+VLOOKUP(F86,matriz01,4,FALSE)</f>
        <v>5000</v>
      </c>
      <c r="J86" s="35">
        <f ca="1">+VLOOKUP(F86,matriz01,5,FALSE)</f>
        <v>1231.8240000000001</v>
      </c>
      <c r="K86" s="334">
        <f t="shared" ca="1" si="24"/>
        <v>0.24636480000000002</v>
      </c>
      <c r="L86" s="193">
        <f>INDEX(coincidenciaP01,MATCH(F86,indicep01,0),7)</f>
        <v>1231.8240000000001</v>
      </c>
      <c r="M86" s="334">
        <f t="shared" si="25"/>
        <v>0.24636480000000002</v>
      </c>
      <c r="N86" s="35">
        <f>INDEX(coincidenciaP01,MATCH(F86,indicep01,0),9)</f>
        <v>3768.1759999999999</v>
      </c>
      <c r="O86" s="334">
        <f t="shared" si="26"/>
        <v>0.75363519999999995</v>
      </c>
      <c r="P86" s="35">
        <f>+'Prog 01'!Q86</f>
        <v>9396.8904180000009</v>
      </c>
      <c r="Q86" s="35">
        <f ca="1">+'Prog 01'!R86</f>
        <v>5801.9904180000003</v>
      </c>
      <c r="R86" s="334">
        <f t="shared" ca="1" si="18"/>
        <v>0.61743727551468819</v>
      </c>
      <c r="T86" s="122"/>
      <c r="V86" s="144"/>
      <c r="W86" s="138"/>
      <c r="X86" s="138"/>
      <c r="Y86" s="138"/>
      <c r="Z86" s="142"/>
    </row>
    <row r="87" spans="2:26" s="58" customFormat="1" ht="15" hidden="1" customHeight="1" outlineLevel="1" collapsed="1" x14ac:dyDescent="0.25">
      <c r="B87" s="586"/>
      <c r="C87" s="32" t="s">
        <v>165</v>
      </c>
      <c r="D87" s="33"/>
      <c r="E87" s="34"/>
      <c r="F87" s="34"/>
      <c r="G87" s="587" t="s">
        <v>46</v>
      </c>
      <c r="H87" s="35">
        <f>+H88</f>
        <v>0</v>
      </c>
      <c r="I87" s="35">
        <f>+I88</f>
        <v>0</v>
      </c>
      <c r="J87" s="35">
        <f ca="1">+J88</f>
        <v>0</v>
      </c>
      <c r="K87" s="334" t="str">
        <f t="shared" ca="1" si="24"/>
        <v>0.00%</v>
      </c>
      <c r="L87" s="35">
        <f>+L88</f>
        <v>0</v>
      </c>
      <c r="M87" s="334">
        <f t="shared" si="25"/>
        <v>0</v>
      </c>
      <c r="N87" s="35">
        <f>+N88</f>
        <v>0</v>
      </c>
      <c r="O87" s="334">
        <f t="shared" si="26"/>
        <v>0</v>
      </c>
      <c r="P87" s="35">
        <f>+P88</f>
        <v>31260</v>
      </c>
      <c r="Q87" s="35">
        <f ca="1">+Q88</f>
        <v>0</v>
      </c>
      <c r="R87" s="334">
        <f t="shared" ca="1" si="18"/>
        <v>0</v>
      </c>
      <c r="S87" s="26"/>
      <c r="T87" s="122"/>
      <c r="U87" s="139"/>
      <c r="V87" s="144"/>
      <c r="W87" s="138"/>
      <c r="X87" s="138"/>
      <c r="Y87" s="138"/>
      <c r="Z87" s="142"/>
    </row>
    <row r="88" spans="2:26" ht="15" hidden="1" customHeight="1" outlineLevel="2" x14ac:dyDescent="0.25">
      <c r="B88" s="586"/>
      <c r="C88" s="32"/>
      <c r="D88" s="33" t="s">
        <v>167</v>
      </c>
      <c r="E88" s="34"/>
      <c r="F88" s="34" t="str">
        <f>+CONCATENATE($B$80,"",$C$87,"",D88)</f>
        <v>22.03.001</v>
      </c>
      <c r="G88" s="588" t="s">
        <v>103</v>
      </c>
      <c r="H88" s="35">
        <f>+VLOOKUP(F88,matriz01,3,FALSE)</f>
        <v>0</v>
      </c>
      <c r="I88" s="35">
        <f>+VLOOKUP(F88,matriz01,4,FALSE)</f>
        <v>0</v>
      </c>
      <c r="J88" s="35">
        <f ca="1">+VLOOKUP(F88,matriz01,5,FALSE)</f>
        <v>0</v>
      </c>
      <c r="K88" s="334" t="str">
        <f t="shared" ca="1" si="24"/>
        <v>0.00%</v>
      </c>
      <c r="L88" s="35">
        <f>INDEX(coincidenciaP01,MATCH(F88,indicep01,0),7)</f>
        <v>0</v>
      </c>
      <c r="M88" s="334">
        <f t="shared" si="25"/>
        <v>0</v>
      </c>
      <c r="N88" s="35">
        <f>INDEX(coincidenciaP01,MATCH(F88,indicep01,0),9)</f>
        <v>0</v>
      </c>
      <c r="O88" s="334">
        <f t="shared" si="26"/>
        <v>0</v>
      </c>
      <c r="P88" s="35">
        <f>+'Prog 01'!Q88</f>
        <v>31260</v>
      </c>
      <c r="Q88" s="35">
        <f ca="1">+'Prog 01'!R88</f>
        <v>0</v>
      </c>
      <c r="R88" s="334">
        <f t="shared" ca="1" si="18"/>
        <v>0</v>
      </c>
      <c r="T88" s="122"/>
      <c r="V88" s="144"/>
      <c r="W88" s="138"/>
      <c r="X88" s="138"/>
      <c r="Y88" s="138"/>
      <c r="Z88" s="142"/>
    </row>
    <row r="89" spans="2:26" s="58" customFormat="1" ht="15" hidden="1" customHeight="1" outlineLevel="1" collapsed="1" x14ac:dyDescent="0.25">
      <c r="B89" s="586"/>
      <c r="C89" s="32" t="s">
        <v>166</v>
      </c>
      <c r="D89" s="33"/>
      <c r="E89" s="34"/>
      <c r="F89" s="34"/>
      <c r="G89" s="587" t="s">
        <v>47</v>
      </c>
      <c r="H89" s="35">
        <f>SUM(H90:H102)</f>
        <v>35764.204000000005</v>
      </c>
      <c r="I89" s="35">
        <f>SUM(I90:I102)</f>
        <v>31627.816000000003</v>
      </c>
      <c r="J89" s="35">
        <f ca="1">SUM(J90:J102)</f>
        <v>11880.423999999999</v>
      </c>
      <c r="K89" s="334">
        <f t="shared" ca="1" si="24"/>
        <v>0.37563213343596025</v>
      </c>
      <c r="L89" s="35">
        <f>SUM(L90:L102)</f>
        <v>15818.495000000001</v>
      </c>
      <c r="M89" s="334">
        <f t="shared" si="25"/>
        <v>0.50014503056423498</v>
      </c>
      <c r="N89" s="35">
        <f>SUM(N90:N102)</f>
        <v>15809.321</v>
      </c>
      <c r="O89" s="334">
        <f t="shared" si="26"/>
        <v>0.49985496943576496</v>
      </c>
      <c r="P89" s="35">
        <f>SUM(P90:P102)</f>
        <v>56491.168266000008</v>
      </c>
      <c r="Q89" s="35">
        <f ca="1">SUM(Q90:Q102)</f>
        <v>5711.1207240000003</v>
      </c>
      <c r="R89" s="334">
        <f t="shared" ca="1" si="18"/>
        <v>0.1010975856811465</v>
      </c>
      <c r="S89" s="26"/>
      <c r="T89" s="122"/>
      <c r="U89" s="139"/>
      <c r="V89" s="144"/>
      <c r="W89" s="138"/>
      <c r="X89" s="138"/>
      <c r="Y89" s="138"/>
      <c r="Z89" s="142"/>
    </row>
    <row r="90" spans="2:26" ht="15" hidden="1" customHeight="1" outlineLevel="2" x14ac:dyDescent="0.25">
      <c r="B90" s="586"/>
      <c r="C90" s="32"/>
      <c r="D90" s="33" t="s">
        <v>167</v>
      </c>
      <c r="E90" s="34"/>
      <c r="F90" s="34" t="str">
        <f>+CONCATENATE($B$80,"",$C$89,"",D90)</f>
        <v>22.04.001</v>
      </c>
      <c r="G90" s="588" t="s">
        <v>104</v>
      </c>
      <c r="H90" s="35">
        <f t="shared" ref="H90:H102" si="27">+VLOOKUP(F90,matriz01,3,FALSE)</f>
        <v>10321.700000000001</v>
      </c>
      <c r="I90" s="35">
        <f t="shared" ref="I90:I102" si="28">+VLOOKUP(F90,matriz01,4,FALSE)</f>
        <v>6203.9780000000001</v>
      </c>
      <c r="J90" s="35">
        <f ca="1">+VLOOKUP(F90,matriz01,5,FALSE)</f>
        <v>3342.4780000000001</v>
      </c>
      <c r="K90" s="334">
        <f t="shared" ca="1" si="24"/>
        <v>0.53876367711168549</v>
      </c>
      <c r="L90" s="35">
        <f t="shared" ref="L90:L102" si="29">INDEX(coincidenciaP01,MATCH(F90,indicep01,0),7)</f>
        <v>3342.4780000000001</v>
      </c>
      <c r="M90" s="334">
        <f t="shared" si="25"/>
        <v>0.53876367711168549</v>
      </c>
      <c r="N90" s="35">
        <f t="shared" ref="N90:N102" si="30">INDEX(coincidenciaP01,MATCH(F90,indicep01,0),9)</f>
        <v>2861.5</v>
      </c>
      <c r="O90" s="334">
        <f t="shared" si="26"/>
        <v>0.46123632288831456</v>
      </c>
      <c r="P90" s="35">
        <f>+'Prog 01'!Q90</f>
        <v>11574.015000000001</v>
      </c>
      <c r="Q90" s="35">
        <f ca="1">+'Prog 01'!R90</f>
        <v>1668.3430739999999</v>
      </c>
      <c r="R90" s="334">
        <f t="shared" ca="1" si="18"/>
        <v>0.14414557731262659</v>
      </c>
      <c r="T90" s="122"/>
      <c r="V90" s="144"/>
      <c r="W90" s="138"/>
      <c r="X90" s="138"/>
      <c r="Y90" s="138"/>
      <c r="Z90" s="142"/>
    </row>
    <row r="91" spans="2:26" ht="15" hidden="1" customHeight="1" outlineLevel="2" x14ac:dyDescent="0.25">
      <c r="B91" s="586"/>
      <c r="C91" s="32"/>
      <c r="D91" s="33" t="s">
        <v>163</v>
      </c>
      <c r="E91" s="34"/>
      <c r="F91" s="34" t="str">
        <f>+CONCATENATE($B$80,"",$C$89,"",D91)</f>
        <v>22.04.002</v>
      </c>
      <c r="G91" s="588" t="s">
        <v>998</v>
      </c>
      <c r="H91" s="35">
        <f>+'Prog 01'!I91</f>
        <v>427.21100000000001</v>
      </c>
      <c r="I91" s="35">
        <f>+'Prog 01'!J91</f>
        <v>427.21100000000001</v>
      </c>
      <c r="J91" s="35">
        <f ca="1">+'Prog 01'!K91</f>
        <v>427.21100000000001</v>
      </c>
      <c r="K91" s="334">
        <f t="shared" ca="1" si="24"/>
        <v>1</v>
      </c>
      <c r="L91" s="35">
        <f>+'Prog 01'!M91</f>
        <v>427.21100000000001</v>
      </c>
      <c r="M91" s="334">
        <f t="shared" si="25"/>
        <v>1</v>
      </c>
      <c r="N91" s="35">
        <f>+'Prog 01'!O91</f>
        <v>0</v>
      </c>
      <c r="O91" s="334">
        <f t="shared" si="26"/>
        <v>0</v>
      </c>
      <c r="P91" s="35">
        <v>0</v>
      </c>
      <c r="Q91" s="35">
        <v>0</v>
      </c>
      <c r="R91" s="334" t="str">
        <f t="shared" si="18"/>
        <v>0.00%</v>
      </c>
      <c r="T91" s="122"/>
      <c r="V91" s="144"/>
      <c r="W91" s="138"/>
      <c r="X91" s="138"/>
      <c r="Y91" s="138"/>
      <c r="Z91" s="142"/>
    </row>
    <row r="92" spans="2:26" ht="15" hidden="1" customHeight="1" outlineLevel="2" x14ac:dyDescent="0.25">
      <c r="B92" s="586"/>
      <c r="C92" s="32"/>
      <c r="D92" s="33" t="s">
        <v>164</v>
      </c>
      <c r="E92" s="34"/>
      <c r="F92" s="34" t="str">
        <f>+CONCATENATE($B$80,"",$C$89,"",D92)</f>
        <v>22.04.003</v>
      </c>
      <c r="G92" s="588" t="s">
        <v>205</v>
      </c>
      <c r="H92" s="35">
        <f>+'Prog 01'!I92</f>
        <v>0</v>
      </c>
      <c r="I92" s="35">
        <f t="shared" si="28"/>
        <v>0</v>
      </c>
      <c r="J92" s="35">
        <f ca="1">+VLOOKUP(F92,matriz01,5,FALSE)</f>
        <v>0</v>
      </c>
      <c r="K92" s="334" t="str">
        <f t="shared" ca="1" si="24"/>
        <v>0.00%</v>
      </c>
      <c r="L92" s="35">
        <f t="shared" si="29"/>
        <v>0</v>
      </c>
      <c r="M92" s="334">
        <f t="shared" si="25"/>
        <v>0</v>
      </c>
      <c r="N92" s="35">
        <f t="shared" si="30"/>
        <v>0</v>
      </c>
      <c r="O92" s="334">
        <f t="shared" si="26"/>
        <v>0</v>
      </c>
      <c r="P92" s="35">
        <f>+'Prog 01'!Q92</f>
        <v>0</v>
      </c>
      <c r="Q92" s="35">
        <f ca="1">+'Prog 01'!R92</f>
        <v>0</v>
      </c>
      <c r="R92" s="334" t="str">
        <f t="shared" ca="1" si="18"/>
        <v>0.00%</v>
      </c>
      <c r="T92" s="122"/>
      <c r="V92" s="144"/>
      <c r="W92" s="138"/>
      <c r="X92" s="138"/>
      <c r="Y92" s="138"/>
      <c r="Z92" s="142"/>
    </row>
    <row r="93" spans="2:26" ht="15" hidden="1" customHeight="1" outlineLevel="2" x14ac:dyDescent="0.25">
      <c r="B93" s="586"/>
      <c r="C93" s="32"/>
      <c r="D93" s="33" t="s">
        <v>177</v>
      </c>
      <c r="E93" s="34"/>
      <c r="F93" s="34" t="s">
        <v>751</v>
      </c>
      <c r="G93" s="588" t="s">
        <v>752</v>
      </c>
      <c r="H93" s="35">
        <f>+'Prog 01'!I93</f>
        <v>1013.077</v>
      </c>
      <c r="I93" s="35">
        <f t="shared" si="28"/>
        <v>1013.077</v>
      </c>
      <c r="J93" s="35">
        <f ca="1">+VLOOKUP(F93,matriz01,5,FALSE)</f>
        <v>0</v>
      </c>
      <c r="K93" s="334">
        <f t="shared" ca="1" si="24"/>
        <v>0</v>
      </c>
      <c r="L93" s="35">
        <f t="shared" si="29"/>
        <v>0</v>
      </c>
      <c r="M93" s="334">
        <f t="shared" si="25"/>
        <v>0</v>
      </c>
      <c r="N93" s="35">
        <f t="shared" si="30"/>
        <v>1013.077</v>
      </c>
      <c r="O93" s="334">
        <f t="shared" si="26"/>
        <v>1</v>
      </c>
      <c r="P93" s="35">
        <f>+'Prog 01'!Q93</f>
        <v>327.35472000000004</v>
      </c>
      <c r="Q93" s="35">
        <f ca="1">+'Prog 01'!R93</f>
        <v>327.35472000000004</v>
      </c>
      <c r="R93" s="334">
        <f t="shared" ca="1" si="18"/>
        <v>1</v>
      </c>
      <c r="T93" s="122"/>
      <c r="V93" s="144"/>
      <c r="W93" s="138"/>
      <c r="X93" s="138"/>
      <c r="Y93" s="138"/>
      <c r="Z93" s="142"/>
    </row>
    <row r="94" spans="2:26" ht="15" hidden="1" customHeight="1" outlineLevel="2" x14ac:dyDescent="0.25">
      <c r="B94" s="586"/>
      <c r="C94" s="32"/>
      <c r="D94" s="38" t="s">
        <v>178</v>
      </c>
      <c r="E94" s="34"/>
      <c r="F94" s="34" t="str">
        <f t="shared" ref="F94:F102" si="31">+CONCATENATE($B$80,"",$C$89,"",D94)</f>
        <v>22.04.005</v>
      </c>
      <c r="G94" s="589" t="s">
        <v>325</v>
      </c>
      <c r="H94" s="35">
        <f>+'Prog 01'!I94</f>
        <v>0</v>
      </c>
      <c r="I94" s="35">
        <f t="shared" si="28"/>
        <v>0</v>
      </c>
      <c r="J94" s="35">
        <f ca="1">+'Prog 01'!K94</f>
        <v>0</v>
      </c>
      <c r="K94" s="334" t="str">
        <f t="shared" ca="1" si="24"/>
        <v>0.00%</v>
      </c>
      <c r="L94" s="35">
        <f t="shared" si="29"/>
        <v>0</v>
      </c>
      <c r="M94" s="334">
        <f t="shared" si="25"/>
        <v>0</v>
      </c>
      <c r="N94" s="35">
        <f t="shared" si="30"/>
        <v>0</v>
      </c>
      <c r="O94" s="334">
        <f t="shared" si="26"/>
        <v>0</v>
      </c>
      <c r="P94" s="35">
        <f>+'Prog 01'!Q94</f>
        <v>714.64528000000007</v>
      </c>
      <c r="Q94" s="35">
        <f ca="1">+'Prog 01'!R94</f>
        <v>0</v>
      </c>
      <c r="R94" s="334">
        <f t="shared" ca="1" si="18"/>
        <v>0</v>
      </c>
      <c r="T94" s="122"/>
      <c r="V94" s="144"/>
      <c r="W94" s="138"/>
      <c r="X94" s="138"/>
      <c r="Y94" s="138"/>
      <c r="Z94" s="142"/>
    </row>
    <row r="95" spans="2:26" ht="15" hidden="1" customHeight="1" outlineLevel="2" x14ac:dyDescent="0.25">
      <c r="B95" s="586"/>
      <c r="C95" s="32"/>
      <c r="D95" s="33" t="s">
        <v>168</v>
      </c>
      <c r="E95" s="34"/>
      <c r="F95" s="34" t="str">
        <f t="shared" si="31"/>
        <v>22.04.007</v>
      </c>
      <c r="G95" s="588" t="s">
        <v>105</v>
      </c>
      <c r="H95" s="35">
        <f t="shared" si="27"/>
        <v>5015.9799999999996</v>
      </c>
      <c r="I95" s="35">
        <f t="shared" si="28"/>
        <v>4790.88</v>
      </c>
      <c r="J95" s="35">
        <f t="shared" ref="J95:J102" ca="1" si="32">+VLOOKUP(F95,matriz01,5,FALSE)</f>
        <v>15.98</v>
      </c>
      <c r="K95" s="334">
        <f t="shared" ca="1" si="24"/>
        <v>3.3355041245032228E-3</v>
      </c>
      <c r="L95" s="35">
        <f t="shared" si="29"/>
        <v>15.98</v>
      </c>
      <c r="M95" s="334">
        <f t="shared" si="25"/>
        <v>3.3355041245032228E-3</v>
      </c>
      <c r="N95" s="35">
        <f t="shared" si="30"/>
        <v>4774.9000000000005</v>
      </c>
      <c r="O95" s="334">
        <f t="shared" si="26"/>
        <v>0.99666449587549688</v>
      </c>
      <c r="P95" s="35">
        <f>+'Prog 01'!Q95</f>
        <v>15630</v>
      </c>
      <c r="Q95" s="35">
        <f ca="1">+'Prog 01'!R95</f>
        <v>0</v>
      </c>
      <c r="R95" s="334">
        <f t="shared" ca="1" si="18"/>
        <v>0</v>
      </c>
      <c r="T95" s="122"/>
      <c r="V95" s="144"/>
      <c r="W95" s="138"/>
      <c r="X95" s="138"/>
      <c r="Y95" s="138"/>
      <c r="Z95" s="142"/>
    </row>
    <row r="96" spans="2:26" ht="15" hidden="1" customHeight="1" outlineLevel="2" x14ac:dyDescent="0.25">
      <c r="B96" s="586"/>
      <c r="C96" s="32"/>
      <c r="D96" s="33" t="s">
        <v>169</v>
      </c>
      <c r="E96" s="34"/>
      <c r="F96" s="34" t="str">
        <f t="shared" si="31"/>
        <v>22.04.008</v>
      </c>
      <c r="G96" s="588" t="s">
        <v>106</v>
      </c>
      <c r="H96" s="35">
        <f t="shared" si="27"/>
        <v>0</v>
      </c>
      <c r="I96" s="35">
        <f t="shared" si="28"/>
        <v>0</v>
      </c>
      <c r="J96" s="35">
        <f t="shared" ca="1" si="32"/>
        <v>0</v>
      </c>
      <c r="K96" s="334" t="str">
        <f t="shared" ca="1" si="24"/>
        <v>0.00%</v>
      </c>
      <c r="L96" s="35">
        <f t="shared" si="29"/>
        <v>0</v>
      </c>
      <c r="M96" s="334">
        <f t="shared" si="25"/>
        <v>0</v>
      </c>
      <c r="N96" s="35">
        <f t="shared" si="30"/>
        <v>0</v>
      </c>
      <c r="O96" s="334">
        <f t="shared" si="26"/>
        <v>0</v>
      </c>
      <c r="P96" s="35">
        <f>+'Prog 01'!Q96</f>
        <v>0</v>
      </c>
      <c r="Q96" s="35">
        <f ca="1">+'Prog 01'!R96</f>
        <v>0</v>
      </c>
      <c r="R96" s="334" t="str">
        <f t="shared" ca="1" si="18"/>
        <v>0.00%</v>
      </c>
      <c r="T96" s="122"/>
      <c r="V96" s="144"/>
      <c r="W96" s="138"/>
      <c r="X96" s="138"/>
      <c r="Y96" s="138"/>
      <c r="Z96" s="142"/>
    </row>
    <row r="97" spans="2:26" ht="15" hidden="1" customHeight="1" outlineLevel="2" x14ac:dyDescent="0.25">
      <c r="B97" s="586"/>
      <c r="C97" s="32"/>
      <c r="D97" s="33" t="s">
        <v>170</v>
      </c>
      <c r="E97" s="34"/>
      <c r="F97" s="34" t="str">
        <f t="shared" si="31"/>
        <v>22.04.009</v>
      </c>
      <c r="G97" s="588" t="s">
        <v>48</v>
      </c>
      <c r="H97" s="35">
        <f t="shared" si="27"/>
        <v>9200</v>
      </c>
      <c r="I97" s="35">
        <f t="shared" si="28"/>
        <v>9200</v>
      </c>
      <c r="J97" s="35">
        <f t="shared" ca="1" si="32"/>
        <v>5331.2</v>
      </c>
      <c r="K97" s="334">
        <f t="shared" ca="1" si="24"/>
        <v>0.57947826086956522</v>
      </c>
      <c r="L97" s="35">
        <f t="shared" si="29"/>
        <v>7391.5659999999998</v>
      </c>
      <c r="M97" s="334">
        <f t="shared" si="25"/>
        <v>0.80343108695652177</v>
      </c>
      <c r="N97" s="35">
        <f t="shared" si="30"/>
        <v>1808.4340000000002</v>
      </c>
      <c r="O97" s="334">
        <f t="shared" si="26"/>
        <v>0.19656891304347829</v>
      </c>
      <c r="P97" s="35">
        <f>+'Prog 01'!Q97</f>
        <v>10498.15</v>
      </c>
      <c r="Q97" s="35">
        <f ca="1">+'Prog 01'!R97</f>
        <v>82.023114000000007</v>
      </c>
      <c r="R97" s="334">
        <f t="shared" ca="1" si="18"/>
        <v>7.8131017369727062E-3</v>
      </c>
      <c r="T97" s="122"/>
      <c r="V97" s="144"/>
      <c r="W97" s="138"/>
      <c r="X97" s="138"/>
      <c r="Y97" s="138"/>
      <c r="Z97" s="142"/>
    </row>
    <row r="98" spans="2:26" ht="15" hidden="1" customHeight="1" outlineLevel="2" x14ac:dyDescent="0.25">
      <c r="B98" s="586"/>
      <c r="C98" s="32"/>
      <c r="D98" s="33" t="s">
        <v>171</v>
      </c>
      <c r="E98" s="34"/>
      <c r="F98" s="34" t="str">
        <f t="shared" si="31"/>
        <v>22.04.010</v>
      </c>
      <c r="G98" s="588" t="s">
        <v>49</v>
      </c>
      <c r="H98" s="35">
        <f t="shared" si="27"/>
        <v>2083.8960000000002</v>
      </c>
      <c r="I98" s="35">
        <f t="shared" si="28"/>
        <v>2083.8960000000002</v>
      </c>
      <c r="J98" s="35">
        <f t="shared" ca="1" si="32"/>
        <v>1386.933</v>
      </c>
      <c r="K98" s="334">
        <f t="shared" ca="1" si="24"/>
        <v>0.6655480887721843</v>
      </c>
      <c r="L98" s="35">
        <f t="shared" si="29"/>
        <v>1843.992</v>
      </c>
      <c r="M98" s="334">
        <f t="shared" si="25"/>
        <v>0.88487717237328534</v>
      </c>
      <c r="N98" s="35">
        <f t="shared" si="30"/>
        <v>239.90400000000022</v>
      </c>
      <c r="O98" s="334">
        <f t="shared" si="26"/>
        <v>0.11512282762671468</v>
      </c>
      <c r="P98" s="35">
        <f>+'Prog 01'!Q98</f>
        <v>1563</v>
      </c>
      <c r="Q98" s="35">
        <f ca="1">+'Prog 01'!R98</f>
        <v>0</v>
      </c>
      <c r="R98" s="334">
        <f t="shared" ca="1" si="18"/>
        <v>0</v>
      </c>
      <c r="T98" s="122"/>
      <c r="V98" s="144"/>
      <c r="W98" s="138"/>
      <c r="X98" s="138"/>
      <c r="Y98" s="138"/>
      <c r="Z98" s="142"/>
    </row>
    <row r="99" spans="2:26" ht="15" hidden="1" customHeight="1" outlineLevel="2" x14ac:dyDescent="0.25">
      <c r="B99" s="586"/>
      <c r="C99" s="32"/>
      <c r="D99" s="33" t="s">
        <v>172</v>
      </c>
      <c r="E99" s="34"/>
      <c r="F99" s="34" t="str">
        <f t="shared" si="31"/>
        <v>22.04.011</v>
      </c>
      <c r="G99" s="588" t="s">
        <v>50</v>
      </c>
      <c r="H99" s="35">
        <f t="shared" si="27"/>
        <v>1000</v>
      </c>
      <c r="I99" s="35">
        <f t="shared" si="28"/>
        <v>1140.9839999999999</v>
      </c>
      <c r="J99" s="35">
        <f t="shared" ca="1" si="32"/>
        <v>750.75</v>
      </c>
      <c r="K99" s="334">
        <f t="shared" ca="1" si="24"/>
        <v>0.65798468690183209</v>
      </c>
      <c r="L99" s="35">
        <f t="shared" si="29"/>
        <v>750.75</v>
      </c>
      <c r="M99" s="334">
        <f t="shared" si="25"/>
        <v>0.65798468690183209</v>
      </c>
      <c r="N99" s="35">
        <f t="shared" si="30"/>
        <v>390.23399999999992</v>
      </c>
      <c r="O99" s="334">
        <f t="shared" si="26"/>
        <v>0.34201531309816785</v>
      </c>
      <c r="P99" s="35">
        <f>+'Prog 01'!Q99</f>
        <v>5210</v>
      </c>
      <c r="Q99" s="35">
        <f ca="1">+'Prog 01'!R99</f>
        <v>0</v>
      </c>
      <c r="R99" s="334">
        <f t="shared" ca="1" si="18"/>
        <v>0</v>
      </c>
      <c r="T99" s="122"/>
      <c r="V99" s="144"/>
      <c r="W99" s="138"/>
      <c r="X99" s="138"/>
      <c r="Y99" s="138"/>
      <c r="Z99" s="142"/>
    </row>
    <row r="100" spans="2:26" ht="15" hidden="1" customHeight="1" outlineLevel="2" x14ac:dyDescent="0.25">
      <c r="B100" s="586"/>
      <c r="C100" s="32"/>
      <c r="D100" s="33" t="s">
        <v>173</v>
      </c>
      <c r="E100" s="34"/>
      <c r="F100" s="34" t="str">
        <f t="shared" si="31"/>
        <v>22.04.012</v>
      </c>
      <c r="G100" s="588" t="s">
        <v>107</v>
      </c>
      <c r="H100" s="35">
        <f t="shared" si="27"/>
        <v>2293.54</v>
      </c>
      <c r="I100" s="35">
        <f t="shared" si="28"/>
        <v>2293.54</v>
      </c>
      <c r="J100" s="35">
        <f t="shared" ca="1" si="32"/>
        <v>0</v>
      </c>
      <c r="K100" s="334">
        <f t="shared" ca="1" si="24"/>
        <v>0</v>
      </c>
      <c r="L100" s="35">
        <f t="shared" si="29"/>
        <v>0</v>
      </c>
      <c r="M100" s="334">
        <f t="shared" si="25"/>
        <v>0</v>
      </c>
      <c r="N100" s="35">
        <f t="shared" si="30"/>
        <v>2293.54</v>
      </c>
      <c r="O100" s="334">
        <f t="shared" si="26"/>
        <v>1</v>
      </c>
      <c r="P100" s="35">
        <f>+'Prog 01'!Q100</f>
        <v>72.94</v>
      </c>
      <c r="Q100" s="35">
        <f ca="1">+'Prog 01'!R100</f>
        <v>72.94</v>
      </c>
      <c r="R100" s="334">
        <f t="shared" ca="1" si="18"/>
        <v>1</v>
      </c>
      <c r="T100" s="122"/>
      <c r="V100" s="144"/>
      <c r="W100" s="138"/>
      <c r="X100" s="138"/>
      <c r="Y100" s="138"/>
      <c r="Z100" s="142"/>
    </row>
    <row r="101" spans="2:26" ht="15" hidden="1" customHeight="1" outlineLevel="2" x14ac:dyDescent="0.25">
      <c r="B101" s="586"/>
      <c r="C101" s="32"/>
      <c r="D101" s="33" t="s">
        <v>174</v>
      </c>
      <c r="E101" s="34"/>
      <c r="F101" s="34" t="str">
        <f t="shared" si="31"/>
        <v>22.04.013</v>
      </c>
      <c r="G101" s="588" t="s">
        <v>108</v>
      </c>
      <c r="H101" s="35">
        <f t="shared" si="27"/>
        <v>4000</v>
      </c>
      <c r="I101" s="35">
        <f t="shared" si="28"/>
        <v>4000</v>
      </c>
      <c r="J101" s="35">
        <f t="shared" ca="1" si="32"/>
        <v>151.62200000000001</v>
      </c>
      <c r="K101" s="334">
        <f t="shared" ca="1" si="24"/>
        <v>3.7905500000000002E-2</v>
      </c>
      <c r="L101" s="35">
        <f t="shared" si="29"/>
        <v>1572.268</v>
      </c>
      <c r="M101" s="334">
        <f t="shared" si="25"/>
        <v>0.393067</v>
      </c>
      <c r="N101" s="35">
        <f t="shared" si="30"/>
        <v>2427.732</v>
      </c>
      <c r="O101" s="334">
        <f t="shared" si="26"/>
        <v>0.60693299999999994</v>
      </c>
      <c r="P101" s="35">
        <f>+'Prog 01'!Q101</f>
        <v>9971.0782660000004</v>
      </c>
      <c r="Q101" s="35">
        <f ca="1">+'Prog 01'!R101</f>
        <v>3560.459816</v>
      </c>
      <c r="R101" s="334">
        <f t="shared" ca="1" si="18"/>
        <v>0.35707871516169681</v>
      </c>
      <c r="T101" s="122"/>
      <c r="V101" s="144"/>
      <c r="W101" s="138"/>
      <c r="X101" s="138"/>
      <c r="Y101" s="138"/>
      <c r="Z101" s="142"/>
    </row>
    <row r="102" spans="2:26" ht="15" hidden="1" customHeight="1" outlineLevel="2" x14ac:dyDescent="0.25">
      <c r="B102" s="586"/>
      <c r="C102" s="32"/>
      <c r="D102" s="33" t="s">
        <v>175</v>
      </c>
      <c r="E102" s="34"/>
      <c r="F102" s="34" t="str">
        <f t="shared" si="31"/>
        <v>22.04.999</v>
      </c>
      <c r="G102" s="588" t="s">
        <v>109</v>
      </c>
      <c r="H102" s="35">
        <f t="shared" si="27"/>
        <v>408.8</v>
      </c>
      <c r="I102" s="35">
        <f t="shared" si="28"/>
        <v>474.25</v>
      </c>
      <c r="J102" s="35">
        <f t="shared" ca="1" si="32"/>
        <v>474.25</v>
      </c>
      <c r="K102" s="334">
        <f t="shared" ca="1" si="24"/>
        <v>1</v>
      </c>
      <c r="L102" s="35">
        <f t="shared" si="29"/>
        <v>474.25</v>
      </c>
      <c r="M102" s="334">
        <f t="shared" si="25"/>
        <v>1</v>
      </c>
      <c r="N102" s="35">
        <f t="shared" si="30"/>
        <v>0</v>
      </c>
      <c r="O102" s="334">
        <f t="shared" si="26"/>
        <v>0</v>
      </c>
      <c r="P102" s="35">
        <f>+'Prog 01'!Q102</f>
        <v>929.98500000000001</v>
      </c>
      <c r="Q102" s="35">
        <f ca="1">+'Prog 01'!R102</f>
        <v>0</v>
      </c>
      <c r="R102" s="334">
        <f t="shared" ca="1" si="18"/>
        <v>0</v>
      </c>
      <c r="T102" s="122"/>
      <c r="V102" s="144"/>
      <c r="W102" s="138"/>
      <c r="X102" s="138"/>
      <c r="Y102" s="138"/>
      <c r="Z102" s="142"/>
    </row>
    <row r="103" spans="2:26" s="58" customFormat="1" ht="15" hidden="1" customHeight="1" outlineLevel="1" collapsed="1" x14ac:dyDescent="0.25">
      <c r="B103" s="586"/>
      <c r="C103" s="32" t="s">
        <v>176</v>
      </c>
      <c r="D103" s="33"/>
      <c r="E103" s="34"/>
      <c r="F103" s="34"/>
      <c r="G103" s="587" t="s">
        <v>52</v>
      </c>
      <c r="H103" s="35">
        <f>SUM(H104:H111)</f>
        <v>109888.41800000001</v>
      </c>
      <c r="I103" s="35">
        <f>SUM(I104:I111)</f>
        <v>169842.53899999999</v>
      </c>
      <c r="J103" s="35">
        <f ca="1">SUM(J104:J111)</f>
        <v>37741.698000000004</v>
      </c>
      <c r="K103" s="334">
        <f t="shared" ca="1" si="24"/>
        <v>0.22221581367198007</v>
      </c>
      <c r="L103" s="35">
        <f>SUM(L104:L111)</f>
        <v>151745.48700000002</v>
      </c>
      <c r="M103" s="334">
        <f t="shared" si="25"/>
        <v>0.89344806014705203</v>
      </c>
      <c r="N103" s="35">
        <f>SUM(N104:N111)</f>
        <v>18097.051999999996</v>
      </c>
      <c r="O103" s="334">
        <f t="shared" si="26"/>
        <v>0.10655193985294813</v>
      </c>
      <c r="P103" s="35">
        <f>SUM(P104:P111)</f>
        <v>175394.65000000002</v>
      </c>
      <c r="Q103" s="35">
        <f ca="1">SUM(Q104:Q111)</f>
        <v>19701.352415999998</v>
      </c>
      <c r="R103" s="334">
        <f t="shared" ca="1" si="18"/>
        <v>0.11232584583395215</v>
      </c>
      <c r="S103" s="26"/>
      <c r="T103" s="122"/>
      <c r="U103" s="139"/>
      <c r="V103" s="144"/>
      <c r="W103" s="138"/>
      <c r="X103" s="138"/>
      <c r="Y103" s="138"/>
      <c r="Z103" s="142"/>
    </row>
    <row r="104" spans="2:26" ht="15" hidden="1" customHeight="1" outlineLevel="2" x14ac:dyDescent="0.25">
      <c r="B104" s="586"/>
      <c r="C104" s="32"/>
      <c r="D104" s="33" t="s">
        <v>167</v>
      </c>
      <c r="E104" s="34"/>
      <c r="F104" s="34" t="str">
        <f t="shared" ref="F104:F111" si="33">+CONCATENATE($B$80,"",$C$103,"",D104)</f>
        <v>22.05.001</v>
      </c>
      <c r="G104" s="588" t="s">
        <v>53</v>
      </c>
      <c r="H104" s="35">
        <f t="shared" ref="H104:H111" si="34">+VLOOKUP(F104,matriz01,3,FALSE)</f>
        <v>19300</v>
      </c>
      <c r="I104" s="35">
        <f>+VLOOKUP(F104,matriz01,4,FALSE)</f>
        <v>19300</v>
      </c>
      <c r="J104" s="35">
        <f t="shared" ref="J104:J111" ca="1" si="35">+VLOOKUP(F104,matriz01,5,FALSE)</f>
        <v>2338.6930000000002</v>
      </c>
      <c r="K104" s="334">
        <f t="shared" ca="1" si="24"/>
        <v>0.12117580310880829</v>
      </c>
      <c r="L104" s="35">
        <f t="shared" ref="L104:L111" si="36">INDEX(coincidenciaP01,MATCH(F104,indicep01,0),7)</f>
        <v>19300</v>
      </c>
      <c r="M104" s="334">
        <f t="shared" si="25"/>
        <v>1</v>
      </c>
      <c r="N104" s="35">
        <f t="shared" ref="N104:N151" si="37">INDEX(coincidenciaP01,MATCH(F104,indicep01,0),9)</f>
        <v>0</v>
      </c>
      <c r="O104" s="334">
        <f t="shared" si="26"/>
        <v>0</v>
      </c>
      <c r="P104" s="35">
        <f>+'Prog 01'!Q104</f>
        <v>12931.220000000001</v>
      </c>
      <c r="Q104" s="35">
        <f ca="1">+'Prog 01'!R104</f>
        <v>2322.964986</v>
      </c>
      <c r="R104" s="334">
        <f t="shared" ca="1" si="18"/>
        <v>0.17964004834810635</v>
      </c>
      <c r="T104" s="122"/>
      <c r="V104" s="144"/>
      <c r="W104" s="138"/>
      <c r="X104" s="138"/>
      <c r="Y104" s="138"/>
      <c r="Z104" s="142"/>
    </row>
    <row r="105" spans="2:26" ht="15" hidden="1" customHeight="1" outlineLevel="2" x14ac:dyDescent="0.25">
      <c r="B105" s="586"/>
      <c r="C105" s="32"/>
      <c r="D105" s="33" t="s">
        <v>163</v>
      </c>
      <c r="E105" s="34"/>
      <c r="F105" s="34" t="str">
        <f t="shared" si="33"/>
        <v>22.05.002</v>
      </c>
      <c r="G105" s="588" t="s">
        <v>54</v>
      </c>
      <c r="H105" s="35">
        <f t="shared" si="34"/>
        <v>16650</v>
      </c>
      <c r="I105" s="35">
        <f t="shared" ref="I105:I111" si="38">+VLOOKUP(F105,matriz01,4,FALSE)</f>
        <v>15459.405000000001</v>
      </c>
      <c r="J105" s="35">
        <f t="shared" ca="1" si="35"/>
        <v>2868.0749999999998</v>
      </c>
      <c r="K105" s="334">
        <f t="shared" ca="1" si="24"/>
        <v>0.18552298746297155</v>
      </c>
      <c r="L105" s="35">
        <f t="shared" si="36"/>
        <v>15335.353999999999</v>
      </c>
      <c r="M105" s="334">
        <f t="shared" si="25"/>
        <v>0.99197569376052952</v>
      </c>
      <c r="N105" s="35">
        <f t="shared" si="37"/>
        <v>124.0510000000013</v>
      </c>
      <c r="O105" s="334">
        <f t="shared" si="26"/>
        <v>8.0243062394704905E-3</v>
      </c>
      <c r="P105" s="35">
        <f>+'Prog 01'!Q105</f>
        <v>17417.03</v>
      </c>
      <c r="Q105" s="35">
        <f ca="1">+'Prog 01'!R105</f>
        <v>1358.1678080000002</v>
      </c>
      <c r="R105" s="334">
        <f t="shared" ca="1" si="18"/>
        <v>7.7979300029913268E-2</v>
      </c>
      <c r="T105" s="122"/>
      <c r="V105" s="144"/>
      <c r="W105" s="138"/>
      <c r="X105" s="138"/>
      <c r="Y105" s="138"/>
      <c r="Z105" s="142"/>
    </row>
    <row r="106" spans="2:26" ht="15" hidden="1" customHeight="1" outlineLevel="2" x14ac:dyDescent="0.25">
      <c r="B106" s="586"/>
      <c r="C106" s="32"/>
      <c r="D106" s="33" t="s">
        <v>164</v>
      </c>
      <c r="E106" s="34"/>
      <c r="F106" s="34" t="str">
        <f t="shared" si="33"/>
        <v>22.05.003</v>
      </c>
      <c r="G106" s="588" t="s">
        <v>55</v>
      </c>
      <c r="H106" s="35">
        <f>+VLOOKUP(F106,matriz01,3,FALSE)</f>
        <v>2500</v>
      </c>
      <c r="I106" s="35">
        <f t="shared" si="38"/>
        <v>2500</v>
      </c>
      <c r="J106" s="35">
        <f t="shared" ca="1" si="35"/>
        <v>80.95</v>
      </c>
      <c r="K106" s="334">
        <f t="shared" ca="1" si="24"/>
        <v>3.2379999999999999E-2</v>
      </c>
      <c r="L106" s="35">
        <f t="shared" si="36"/>
        <v>1800</v>
      </c>
      <c r="M106" s="334">
        <f t="shared" si="25"/>
        <v>0.72</v>
      </c>
      <c r="N106" s="35">
        <f t="shared" si="37"/>
        <v>700</v>
      </c>
      <c r="O106" s="334">
        <f t="shared" si="26"/>
        <v>0.28000000000000003</v>
      </c>
      <c r="P106" s="35">
        <f>+'Prog 01'!Q106</f>
        <v>2396.6</v>
      </c>
      <c r="Q106" s="35">
        <f ca="1">+'Prog 01'!R106</f>
        <v>77.941599999999994</v>
      </c>
      <c r="R106" s="334">
        <f t="shared" ca="1" si="18"/>
        <v>3.2521739130434782E-2</v>
      </c>
      <c r="T106" s="122"/>
      <c r="V106" s="144"/>
      <c r="W106" s="138"/>
      <c r="X106" s="138"/>
      <c r="Y106" s="138"/>
      <c r="Z106" s="142"/>
    </row>
    <row r="107" spans="2:26" ht="15" hidden="1" customHeight="1" outlineLevel="2" x14ac:dyDescent="0.25">
      <c r="B107" s="586"/>
      <c r="C107" s="32"/>
      <c r="D107" s="33" t="s">
        <v>177</v>
      </c>
      <c r="E107" s="34"/>
      <c r="F107" s="34" t="str">
        <f t="shared" si="33"/>
        <v>22.05.004</v>
      </c>
      <c r="G107" s="588" t="s">
        <v>56</v>
      </c>
      <c r="H107" s="35">
        <f>+VLOOKUP(F107,matriz01,3,FALSE)</f>
        <v>16572</v>
      </c>
      <c r="I107" s="35">
        <f t="shared" si="38"/>
        <v>18000</v>
      </c>
      <c r="J107" s="35">
        <f t="shared" ca="1" si="35"/>
        <v>1.49</v>
      </c>
      <c r="K107" s="334">
        <f t="shared" ca="1" si="24"/>
        <v>8.2777777777777781E-5</v>
      </c>
      <c r="L107" s="35">
        <f t="shared" si="36"/>
        <v>9000</v>
      </c>
      <c r="M107" s="334">
        <f t="shared" si="25"/>
        <v>0.5</v>
      </c>
      <c r="N107" s="35">
        <f t="shared" si="37"/>
        <v>9000</v>
      </c>
      <c r="O107" s="334">
        <f t="shared" si="26"/>
        <v>0.5</v>
      </c>
      <c r="P107" s="35">
        <f>+'Prog 01'!Q107</f>
        <v>19006.080000000002</v>
      </c>
      <c r="Q107" s="35">
        <f ca="1">+'Prog 01'!R107</f>
        <v>791.16559199999995</v>
      </c>
      <c r="R107" s="334">
        <f t="shared" ca="1" si="18"/>
        <v>4.1626973684210519E-2</v>
      </c>
      <c r="T107" s="122"/>
      <c r="V107" s="144"/>
      <c r="W107" s="138"/>
      <c r="X107" s="138"/>
      <c r="Y107" s="138"/>
      <c r="Z107" s="142"/>
    </row>
    <row r="108" spans="2:26" ht="15" hidden="1" customHeight="1" outlineLevel="2" x14ac:dyDescent="0.25">
      <c r="B108" s="586"/>
      <c r="C108" s="32"/>
      <c r="D108" s="33" t="s">
        <v>178</v>
      </c>
      <c r="E108" s="34"/>
      <c r="F108" s="34" t="str">
        <f t="shared" si="33"/>
        <v>22.05.005</v>
      </c>
      <c r="G108" s="588" t="s">
        <v>57</v>
      </c>
      <c r="H108" s="35">
        <f t="shared" si="34"/>
        <v>400</v>
      </c>
      <c r="I108" s="35">
        <f t="shared" si="38"/>
        <v>60116.716</v>
      </c>
      <c r="J108" s="35">
        <f t="shared" ca="1" si="35"/>
        <v>27325.74</v>
      </c>
      <c r="K108" s="334">
        <f t="shared" ca="1" si="24"/>
        <v>0.45454478917311453</v>
      </c>
      <c r="L108" s="35">
        <f t="shared" si="36"/>
        <v>60116.716</v>
      </c>
      <c r="M108" s="334">
        <f t="shared" si="25"/>
        <v>1</v>
      </c>
      <c r="N108" s="35">
        <f t="shared" si="37"/>
        <v>0</v>
      </c>
      <c r="O108" s="334">
        <f t="shared" si="26"/>
        <v>0</v>
      </c>
      <c r="P108" s="35">
        <f>+'Prog 01'!Q108</f>
        <v>68772</v>
      </c>
      <c r="Q108" s="35">
        <f ca="1">+'Prog 01'!R108</f>
        <v>11389.364264</v>
      </c>
      <c r="R108" s="334">
        <f t="shared" ca="1" si="18"/>
        <v>0.16561048484848484</v>
      </c>
      <c r="T108" s="122"/>
      <c r="V108" s="144"/>
      <c r="W108" s="138"/>
      <c r="X108" s="138"/>
      <c r="Y108" s="138"/>
      <c r="Z108" s="142"/>
    </row>
    <row r="109" spans="2:26" ht="15" hidden="1" customHeight="1" outlineLevel="2" x14ac:dyDescent="0.25">
      <c r="B109" s="586"/>
      <c r="C109" s="32"/>
      <c r="D109" s="33" t="s">
        <v>179</v>
      </c>
      <c r="E109" s="34"/>
      <c r="F109" s="34" t="str">
        <f t="shared" si="33"/>
        <v>22.05.006</v>
      </c>
      <c r="G109" s="588" t="s">
        <v>58</v>
      </c>
      <c r="H109" s="35">
        <f>+VLOOKUP(F109,matriz01,3,FALSE)</f>
        <v>1500</v>
      </c>
      <c r="I109" s="35">
        <f t="shared" si="38"/>
        <v>1500</v>
      </c>
      <c r="J109" s="35">
        <f t="shared" ca="1" si="35"/>
        <v>0</v>
      </c>
      <c r="K109" s="334">
        <f t="shared" ca="1" si="24"/>
        <v>0</v>
      </c>
      <c r="L109" s="35">
        <f t="shared" si="36"/>
        <v>0</v>
      </c>
      <c r="M109" s="334">
        <f t="shared" si="25"/>
        <v>0</v>
      </c>
      <c r="N109" s="35">
        <f t="shared" si="37"/>
        <v>1500</v>
      </c>
      <c r="O109" s="334">
        <f t="shared" si="26"/>
        <v>1</v>
      </c>
      <c r="P109" s="35">
        <f>+'Prog 01'!Q109</f>
        <v>8857</v>
      </c>
      <c r="Q109" s="35">
        <f ca="1">+'Prog 01'!R109</f>
        <v>0</v>
      </c>
      <c r="R109" s="334">
        <f t="shared" ca="1" si="18"/>
        <v>0</v>
      </c>
      <c r="T109" s="122"/>
      <c r="V109" s="144"/>
      <c r="W109" s="138"/>
      <c r="X109" s="138"/>
      <c r="Y109" s="138"/>
      <c r="Z109" s="142"/>
    </row>
    <row r="110" spans="2:26" ht="15" hidden="1" customHeight="1" outlineLevel="2" x14ac:dyDescent="0.25">
      <c r="B110" s="586"/>
      <c r="C110" s="32"/>
      <c r="D110" s="33" t="s">
        <v>168</v>
      </c>
      <c r="E110" s="34"/>
      <c r="F110" s="34" t="str">
        <f t="shared" si="33"/>
        <v>22.05.007</v>
      </c>
      <c r="G110" s="588" t="s">
        <v>59</v>
      </c>
      <c r="H110" s="35">
        <f t="shared" si="34"/>
        <v>6773</v>
      </c>
      <c r="I110" s="35">
        <f t="shared" si="38"/>
        <v>6773</v>
      </c>
      <c r="J110" s="35">
        <f t="shared" ca="1" si="35"/>
        <v>0</v>
      </c>
      <c r="K110" s="334">
        <f t="shared" ca="1" si="24"/>
        <v>0</v>
      </c>
      <c r="L110" s="35">
        <f t="shared" si="36"/>
        <v>0</v>
      </c>
      <c r="M110" s="334">
        <f t="shared" si="25"/>
        <v>0</v>
      </c>
      <c r="N110" s="35">
        <f t="shared" si="37"/>
        <v>6773</v>
      </c>
      <c r="O110" s="334">
        <f t="shared" si="26"/>
        <v>1</v>
      </c>
      <c r="P110" s="35">
        <f>+'Prog 01'!Q110</f>
        <v>6001.92</v>
      </c>
      <c r="Q110" s="35">
        <f ca="1">+'Prog 01'!R110</f>
        <v>494.238314</v>
      </c>
      <c r="R110" s="334">
        <f t="shared" ca="1" si="18"/>
        <v>8.2346701388888888E-2</v>
      </c>
      <c r="T110" s="122"/>
      <c r="V110" s="144"/>
      <c r="W110" s="138"/>
      <c r="X110" s="138"/>
      <c r="Y110" s="138"/>
      <c r="Z110" s="142"/>
    </row>
    <row r="111" spans="2:26" ht="15" hidden="1" customHeight="1" outlineLevel="2" x14ac:dyDescent="0.25">
      <c r="B111" s="586"/>
      <c r="C111" s="32"/>
      <c r="D111" s="33" t="s">
        <v>169</v>
      </c>
      <c r="E111" s="34"/>
      <c r="F111" s="34" t="str">
        <f t="shared" si="33"/>
        <v>22.05.008</v>
      </c>
      <c r="G111" s="588" t="s">
        <v>60</v>
      </c>
      <c r="H111" s="35">
        <f t="shared" si="34"/>
        <v>46193.417999999998</v>
      </c>
      <c r="I111" s="35">
        <f t="shared" si="38"/>
        <v>46193.417999999998</v>
      </c>
      <c r="J111" s="35">
        <f t="shared" ca="1" si="35"/>
        <v>5126.75</v>
      </c>
      <c r="K111" s="334">
        <f t="shared" ca="1" si="24"/>
        <v>0.11098442639598569</v>
      </c>
      <c r="L111" s="35">
        <f t="shared" si="36"/>
        <v>46193.417000000001</v>
      </c>
      <c r="M111" s="334">
        <f t="shared" si="25"/>
        <v>0.99999997835189425</v>
      </c>
      <c r="N111" s="35">
        <f t="shared" si="37"/>
        <v>9.9999999656574801E-4</v>
      </c>
      <c r="O111" s="334">
        <f t="shared" si="26"/>
        <v>2.1648105722892123E-8</v>
      </c>
      <c r="P111" s="35">
        <f>+'Prog 01'!Q111</f>
        <v>40012.800000000003</v>
      </c>
      <c r="Q111" s="35">
        <f ca="1">+'Prog 01'!R111</f>
        <v>3267.5098520000001</v>
      </c>
      <c r="R111" s="334">
        <f t="shared" ca="1" si="18"/>
        <v>8.1661614583333333E-2</v>
      </c>
      <c r="T111" s="122"/>
      <c r="V111" s="144"/>
      <c r="W111" s="138"/>
      <c r="X111" s="138"/>
      <c r="Y111" s="138"/>
      <c r="Z111" s="142"/>
    </row>
    <row r="112" spans="2:26" s="58" customFormat="1" ht="15" hidden="1" customHeight="1" outlineLevel="1" collapsed="1" x14ac:dyDescent="0.25">
      <c r="B112" s="586"/>
      <c r="C112" s="32" t="s">
        <v>180</v>
      </c>
      <c r="D112" s="33"/>
      <c r="E112" s="34"/>
      <c r="F112" s="34"/>
      <c r="G112" s="587" t="s">
        <v>110</v>
      </c>
      <c r="H112" s="35">
        <f>SUM(H113:H119)</f>
        <v>37504.447</v>
      </c>
      <c r="I112" s="35">
        <f>SUM(I113:I119)</f>
        <v>43432.057000000001</v>
      </c>
      <c r="J112" s="35">
        <f ca="1">SUM(J113:J119)</f>
        <v>4896.0170000000007</v>
      </c>
      <c r="K112" s="334">
        <f t="shared" ca="1" si="24"/>
        <v>0.11272818600325563</v>
      </c>
      <c r="L112" s="35">
        <f>SUM(L113:L119)</f>
        <v>26474.828000000001</v>
      </c>
      <c r="M112" s="334">
        <f t="shared" si="25"/>
        <v>0.60956882608622476</v>
      </c>
      <c r="N112" s="35">
        <f>SUM(N113:N119)</f>
        <v>16957.228999999996</v>
      </c>
      <c r="O112" s="334">
        <f t="shared" si="26"/>
        <v>0.39043117391377513</v>
      </c>
      <c r="P112" s="35">
        <f>SUM(P113:P119)</f>
        <v>51820.810687999998</v>
      </c>
      <c r="Q112" s="35">
        <f ca="1">SUM(Q113:Q119)</f>
        <v>1318.2154439999999</v>
      </c>
      <c r="R112" s="334">
        <f t="shared" ca="1" si="18"/>
        <v>2.5437954877561487E-2</v>
      </c>
      <c r="S112" s="26"/>
      <c r="T112" s="122"/>
      <c r="U112" s="139"/>
      <c r="V112" s="144"/>
      <c r="W112" s="138"/>
      <c r="X112" s="138"/>
      <c r="Y112" s="138"/>
      <c r="Z112" s="142"/>
    </row>
    <row r="113" spans="2:26" ht="15" hidden="1" customHeight="1" outlineLevel="2" x14ac:dyDescent="0.25">
      <c r="B113" s="586"/>
      <c r="C113" s="32"/>
      <c r="D113" s="33" t="s">
        <v>167</v>
      </c>
      <c r="E113" s="34"/>
      <c r="F113" s="34" t="str">
        <f>+CONCATENATE($B$80,"",$C$112,"",D113)</f>
        <v>22.06.001</v>
      </c>
      <c r="G113" s="588" t="s">
        <v>111</v>
      </c>
      <c r="H113" s="35">
        <f t="shared" ref="H113:H119" si="39">+VLOOKUP(F113,matriz01,3,FALSE)</f>
        <v>17290.246999999999</v>
      </c>
      <c r="I113" s="35">
        <f t="shared" ref="I113:I119" si="40">+VLOOKUP(F113,matriz01,4,FALSE)</f>
        <v>22394.794999999998</v>
      </c>
      <c r="J113" s="35">
        <f t="shared" ref="J113:J118" ca="1" si="41">+VLOOKUP(F113,matriz01,5,FALSE)</f>
        <v>4503.5550000000003</v>
      </c>
      <c r="K113" s="334">
        <f t="shared" ca="1" si="24"/>
        <v>0.20109829091983206</v>
      </c>
      <c r="L113" s="35">
        <f>'Prog 01'!M113</f>
        <v>19533.273000000001</v>
      </c>
      <c r="M113" s="334">
        <f t="shared" si="25"/>
        <v>0.87222379128721661</v>
      </c>
      <c r="N113" s="35">
        <f t="shared" si="37"/>
        <v>2861.5219999999972</v>
      </c>
      <c r="O113" s="334">
        <f t="shared" si="26"/>
        <v>0.12777620871278336</v>
      </c>
      <c r="P113" s="35">
        <f>+'Prog 01'!Q113</f>
        <v>15516.650197999999</v>
      </c>
      <c r="Q113" s="35">
        <f ca="1">+'Prog 01'!R113</f>
        <v>64.80198</v>
      </c>
      <c r="R113" s="334">
        <f t="shared" ca="1" si="18"/>
        <v>4.1762867096374048E-3</v>
      </c>
      <c r="T113" s="122"/>
      <c r="V113" s="144"/>
      <c r="W113" s="138"/>
      <c r="X113" s="138"/>
      <c r="Y113" s="138"/>
      <c r="Z113" s="142"/>
    </row>
    <row r="114" spans="2:26" ht="15" hidden="1" customHeight="1" outlineLevel="2" x14ac:dyDescent="0.25">
      <c r="B114" s="586"/>
      <c r="C114" s="32"/>
      <c r="D114" s="33" t="s">
        <v>163</v>
      </c>
      <c r="E114" s="34"/>
      <c r="F114" s="34" t="str">
        <f>+CONCATENATE($B$80,"",$C$112,"",D114)</f>
        <v>22.06.002</v>
      </c>
      <c r="G114" s="588" t="s">
        <v>61</v>
      </c>
      <c r="H114" s="35">
        <f t="shared" si="39"/>
        <v>14000</v>
      </c>
      <c r="I114" s="35">
        <f t="shared" si="40"/>
        <v>14459.993</v>
      </c>
      <c r="J114" s="35">
        <f t="shared" ca="1" si="41"/>
        <v>172.55</v>
      </c>
      <c r="K114" s="334">
        <f t="shared" ca="1" si="24"/>
        <v>1.1932924172231619E-2</v>
      </c>
      <c r="L114" s="35">
        <f>'Prog 01'!M114</f>
        <v>2842.7809999999999</v>
      </c>
      <c r="M114" s="334">
        <f t="shared" si="25"/>
        <v>0.19659629157496825</v>
      </c>
      <c r="N114" s="35">
        <f t="shared" si="37"/>
        <v>11617.212</v>
      </c>
      <c r="O114" s="334">
        <f t="shared" si="26"/>
        <v>0.80340370842503173</v>
      </c>
      <c r="P114" s="35">
        <f>+'Prog 01'!Q114</f>
        <v>21444.255800000003</v>
      </c>
      <c r="Q114" s="35">
        <f ca="1">+'Prog 01'!R114</f>
        <v>1253.413464</v>
      </c>
      <c r="R114" s="334">
        <f t="shared" ca="1" si="18"/>
        <v>5.8449846695076253E-2</v>
      </c>
      <c r="T114" s="122"/>
      <c r="V114" s="144"/>
      <c r="W114" s="138"/>
      <c r="X114" s="138"/>
      <c r="Y114" s="138"/>
      <c r="Z114" s="142"/>
    </row>
    <row r="115" spans="2:26" ht="15" hidden="1" customHeight="1" outlineLevel="2" x14ac:dyDescent="0.25">
      <c r="B115" s="586"/>
      <c r="C115" s="32"/>
      <c r="D115" s="33" t="s">
        <v>177</v>
      </c>
      <c r="E115" s="34"/>
      <c r="F115" s="34" t="s">
        <v>747</v>
      </c>
      <c r="G115" s="610" t="str">
        <f>+'Prog 01'!H116</f>
        <v>Mantenimiento y Reparación de Máquinas y Equipos d</v>
      </c>
      <c r="H115" s="35">
        <f>+VLOOKUP(F115,matriz01,3,FALSE)</f>
        <v>214.2</v>
      </c>
      <c r="I115" s="35">
        <f t="shared" si="40"/>
        <v>577.26900000000001</v>
      </c>
      <c r="J115" s="35">
        <f t="shared" ca="1" si="41"/>
        <v>219.91200000000001</v>
      </c>
      <c r="K115" s="334">
        <f t="shared" ca="1" si="24"/>
        <v>0.38095238095238099</v>
      </c>
      <c r="L115" s="35">
        <f>'Prog 01'!M115</f>
        <v>0</v>
      </c>
      <c r="M115" s="334">
        <f t="shared" si="25"/>
        <v>0</v>
      </c>
      <c r="N115" s="35">
        <f>INDEX(coincidenciaP01,MATCH(F115,indicep01,0),9)</f>
        <v>0</v>
      </c>
      <c r="O115" s="334">
        <f t="shared" si="26"/>
        <v>0</v>
      </c>
      <c r="P115" s="35">
        <f>+'Prog 01'!Q116</f>
        <v>0</v>
      </c>
      <c r="Q115" s="35">
        <f ca="1">+'Prog 01'!R116</f>
        <v>0</v>
      </c>
      <c r="R115" s="334" t="str">
        <f t="shared" ca="1" si="18"/>
        <v>0.00%</v>
      </c>
      <c r="T115" s="122"/>
      <c r="V115" s="144"/>
      <c r="W115" s="138"/>
      <c r="X115" s="138"/>
      <c r="Y115" s="138"/>
      <c r="Z115" s="142"/>
    </row>
    <row r="116" spans="2:26" ht="15" hidden="1" customHeight="1" outlineLevel="2" x14ac:dyDescent="0.25">
      <c r="B116" s="586"/>
      <c r="C116" s="32"/>
      <c r="D116" s="33" t="s">
        <v>164</v>
      </c>
      <c r="E116" s="34"/>
      <c r="F116" s="34" t="str">
        <f>+CONCATENATE($B$80,"",$C$112,"",D116)</f>
        <v>22.06.003</v>
      </c>
      <c r="G116" s="588" t="s">
        <v>112</v>
      </c>
      <c r="H116" s="35">
        <f>+VLOOKUP(F116,matriz01,3,FALSE)</f>
        <v>0</v>
      </c>
      <c r="I116" s="35">
        <f t="shared" si="40"/>
        <v>0</v>
      </c>
      <c r="J116" s="35">
        <f t="shared" ca="1" si="41"/>
        <v>0</v>
      </c>
      <c r="K116" s="334" t="str">
        <f t="shared" ca="1" si="24"/>
        <v>0.00%</v>
      </c>
      <c r="L116" s="35">
        <f>'Prog 01'!M116</f>
        <v>577.26900000000001</v>
      </c>
      <c r="M116" s="334">
        <f t="shared" si="25"/>
        <v>0</v>
      </c>
      <c r="N116" s="35">
        <f t="shared" si="37"/>
        <v>0</v>
      </c>
      <c r="O116" s="334">
        <f t="shared" si="26"/>
        <v>0</v>
      </c>
      <c r="P116" s="35">
        <f>+'Prog 01'!Q115</f>
        <v>3126</v>
      </c>
      <c r="Q116" s="35">
        <f ca="1">+'Prog 01'!R115</f>
        <v>0</v>
      </c>
      <c r="R116" s="334">
        <f t="shared" ca="1" si="18"/>
        <v>0</v>
      </c>
      <c r="T116" s="122"/>
      <c r="V116" s="144"/>
      <c r="W116" s="138"/>
      <c r="X116" s="138"/>
      <c r="Y116" s="138"/>
      <c r="Z116" s="142"/>
    </row>
    <row r="117" spans="2:26" ht="15" hidden="1" customHeight="1" outlineLevel="2" x14ac:dyDescent="0.25">
      <c r="B117" s="586"/>
      <c r="C117" s="32"/>
      <c r="D117" s="33" t="s">
        <v>179</v>
      </c>
      <c r="E117" s="34"/>
      <c r="F117" s="34" t="str">
        <f>+CONCATENATE($B$80,"",$C$112,"",D117)</f>
        <v>22.06.006</v>
      </c>
      <c r="G117" s="588" t="s">
        <v>62</v>
      </c>
      <c r="H117" s="35">
        <f t="shared" si="39"/>
        <v>0</v>
      </c>
      <c r="I117" s="35">
        <f t="shared" si="40"/>
        <v>0</v>
      </c>
      <c r="J117" s="35">
        <f t="shared" ca="1" si="41"/>
        <v>0</v>
      </c>
      <c r="K117" s="334" t="str">
        <f t="shared" ca="1" si="24"/>
        <v>0.00%</v>
      </c>
      <c r="L117" s="35">
        <f>'Prog 01'!M117</f>
        <v>0</v>
      </c>
      <c r="M117" s="334">
        <f t="shared" si="25"/>
        <v>0</v>
      </c>
      <c r="N117" s="35">
        <f t="shared" si="37"/>
        <v>0</v>
      </c>
      <c r="O117" s="334">
        <f t="shared" si="26"/>
        <v>0</v>
      </c>
      <c r="P117" s="35">
        <f>+'Prog 01'!Q117</f>
        <v>0</v>
      </c>
      <c r="Q117" s="35">
        <f ca="1">+'Prog 01'!R117</f>
        <v>0</v>
      </c>
      <c r="R117" s="334" t="str">
        <f t="shared" ca="1" si="18"/>
        <v>0.00%</v>
      </c>
      <c r="T117" s="122"/>
      <c r="V117" s="144"/>
      <c r="W117" s="138"/>
      <c r="X117" s="138"/>
      <c r="Y117" s="138"/>
      <c r="Z117" s="142"/>
    </row>
    <row r="118" spans="2:26" ht="15" hidden="1" customHeight="1" outlineLevel="2" x14ac:dyDescent="0.25">
      <c r="B118" s="586"/>
      <c r="C118" s="32"/>
      <c r="D118" s="33" t="s">
        <v>168</v>
      </c>
      <c r="E118" s="34"/>
      <c r="F118" s="34" t="str">
        <f>+CONCATENATE($B$80,"",$C$112,"",D118)</f>
        <v>22.06.007</v>
      </c>
      <c r="G118" s="588" t="s">
        <v>63</v>
      </c>
      <c r="H118" s="35">
        <f t="shared" si="39"/>
        <v>6000</v>
      </c>
      <c r="I118" s="35">
        <f t="shared" si="40"/>
        <v>6000</v>
      </c>
      <c r="J118" s="35">
        <f t="shared" ca="1" si="41"/>
        <v>0</v>
      </c>
      <c r="K118" s="334">
        <f t="shared" ca="1" si="24"/>
        <v>0</v>
      </c>
      <c r="L118" s="35">
        <f>'Prog 01'!M118</f>
        <v>3521.5050000000001</v>
      </c>
      <c r="M118" s="334">
        <f t="shared" si="25"/>
        <v>0.58691749999999998</v>
      </c>
      <c r="N118" s="35">
        <f t="shared" si="37"/>
        <v>2478.4949999999999</v>
      </c>
      <c r="O118" s="334">
        <f t="shared" si="26"/>
        <v>0.41308249999999996</v>
      </c>
      <c r="P118" s="35">
        <f>+'Prog 01'!Q118</f>
        <v>11733.904689999999</v>
      </c>
      <c r="Q118" s="35">
        <f ca="1">+'Prog 01'!R118</f>
        <v>0</v>
      </c>
      <c r="R118" s="334">
        <f t="shared" ca="1" si="18"/>
        <v>0</v>
      </c>
      <c r="T118" s="122"/>
      <c r="V118" s="144"/>
      <c r="W118" s="138"/>
      <c r="X118" s="138"/>
      <c r="Y118" s="138"/>
      <c r="Z118" s="142"/>
    </row>
    <row r="119" spans="2:26" ht="15" hidden="1" customHeight="1" outlineLevel="2" x14ac:dyDescent="0.25">
      <c r="B119" s="586"/>
      <c r="C119" s="32"/>
      <c r="D119" s="33" t="s">
        <v>175</v>
      </c>
      <c r="E119" s="34"/>
      <c r="F119" s="34" t="str">
        <f>+CONCATENATE($B$80,"",$C$112,"",D119)</f>
        <v>22.06.999</v>
      </c>
      <c r="G119" s="588" t="s">
        <v>51</v>
      </c>
      <c r="H119" s="35">
        <f t="shared" si="39"/>
        <v>0</v>
      </c>
      <c r="I119" s="35">
        <f t="shared" si="40"/>
        <v>0</v>
      </c>
      <c r="J119" s="35">
        <f ca="1">+VLOOKUP(F119,matriz01,5,FALSE)</f>
        <v>0</v>
      </c>
      <c r="K119" s="334" t="str">
        <f t="shared" ca="1" si="24"/>
        <v>0.00%</v>
      </c>
      <c r="L119" s="35">
        <f>'Prog 01'!M119</f>
        <v>0</v>
      </c>
      <c r="M119" s="334">
        <f t="shared" si="25"/>
        <v>0</v>
      </c>
      <c r="N119" s="35">
        <f t="shared" si="37"/>
        <v>0</v>
      </c>
      <c r="O119" s="334">
        <f t="shared" si="26"/>
        <v>0</v>
      </c>
      <c r="P119" s="35">
        <f>+'Prog 01'!Q119</f>
        <v>0</v>
      </c>
      <c r="Q119" s="35">
        <f ca="1">+'Prog 01'!R119</f>
        <v>0</v>
      </c>
      <c r="R119" s="334" t="str">
        <f t="shared" ca="1" si="18"/>
        <v>0.00%</v>
      </c>
      <c r="T119" s="122"/>
      <c r="V119" s="144"/>
      <c r="W119" s="138"/>
      <c r="X119" s="138"/>
      <c r="Y119" s="138"/>
      <c r="Z119" s="142"/>
    </row>
    <row r="120" spans="2:26" s="58" customFormat="1" ht="15" hidden="1" customHeight="1" outlineLevel="1" collapsed="1" x14ac:dyDescent="0.25">
      <c r="B120" s="586"/>
      <c r="C120" s="32" t="s">
        <v>181</v>
      </c>
      <c r="D120" s="33"/>
      <c r="E120" s="34"/>
      <c r="F120" s="34"/>
      <c r="G120" s="587" t="s">
        <v>64</v>
      </c>
      <c r="H120" s="35">
        <f>SUM(H121:H122)</f>
        <v>16010</v>
      </c>
      <c r="I120" s="35">
        <f>SUM(I121:I122)</f>
        <v>16069.5</v>
      </c>
      <c r="J120" s="35">
        <f ca="1">SUM(J121:J122)</f>
        <v>3475.203</v>
      </c>
      <c r="K120" s="334">
        <f t="shared" ca="1" si="24"/>
        <v>0.21626080462988892</v>
      </c>
      <c r="L120" s="35">
        <f>SUM(L121:L122)</f>
        <v>4837.4840000000004</v>
      </c>
      <c r="M120" s="334">
        <f t="shared" si="25"/>
        <v>0.30103512865988363</v>
      </c>
      <c r="N120" s="35">
        <f>SUM(N121:N122)</f>
        <v>11232.016</v>
      </c>
      <c r="O120" s="334">
        <f t="shared" si="26"/>
        <v>0.69896487134011631</v>
      </c>
      <c r="P120" s="35">
        <f>SUM(P121:P122)</f>
        <v>10667.376010000002</v>
      </c>
      <c r="Q120" s="35">
        <f ca="1">SUM(Q121:Q122)</f>
        <v>1243.9291800000001</v>
      </c>
      <c r="R120" s="334">
        <f t="shared" ca="1" si="18"/>
        <v>0.11661060591038451</v>
      </c>
      <c r="S120" s="26"/>
      <c r="T120" s="122"/>
      <c r="U120" s="139"/>
      <c r="V120" s="144"/>
      <c r="W120" s="138"/>
      <c r="X120" s="138"/>
      <c r="Y120" s="138"/>
      <c r="Z120" s="142"/>
    </row>
    <row r="121" spans="2:26" ht="15" hidden="1" customHeight="1" outlineLevel="2" x14ac:dyDescent="0.25">
      <c r="B121" s="586"/>
      <c r="C121" s="32"/>
      <c r="D121" s="33" t="s">
        <v>167</v>
      </c>
      <c r="E121" s="34"/>
      <c r="F121" s="34" t="str">
        <f>+CONCATENATE($B$80,"",$C$120,"",D121)</f>
        <v>22.07.001</v>
      </c>
      <c r="G121" s="588" t="s">
        <v>65</v>
      </c>
      <c r="H121" s="35">
        <f>+VLOOKUP(F121,matriz01,3,FALSE)</f>
        <v>9000</v>
      </c>
      <c r="I121" s="35">
        <f>+VLOOKUP(F121,matriz01,4,FALSE)</f>
        <v>9000</v>
      </c>
      <c r="J121" s="35">
        <f ca="1">+VLOOKUP(F121,matriz01,5,FALSE)</f>
        <v>3405.703</v>
      </c>
      <c r="K121" s="334">
        <f t="shared" ca="1" si="24"/>
        <v>0.37841144444444447</v>
      </c>
      <c r="L121" s="35">
        <f>INDEX(coincidenciaP01,MATCH(F121,indicep01,0),7)</f>
        <v>4767.9840000000004</v>
      </c>
      <c r="M121" s="334">
        <f t="shared" si="25"/>
        <v>0.52977600000000002</v>
      </c>
      <c r="N121" s="35">
        <f t="shared" si="37"/>
        <v>4232.0159999999996</v>
      </c>
      <c r="O121" s="334">
        <f t="shared" si="26"/>
        <v>0.47022399999999998</v>
      </c>
      <c r="P121" s="35">
        <f>+'Prog 01'!Q121</f>
        <v>10109.607998000001</v>
      </c>
      <c r="Q121" s="35">
        <f ca="1">+'Prog 01'!R121</f>
        <v>996.55317000000002</v>
      </c>
      <c r="R121" s="334">
        <f t="shared" ca="1" si="18"/>
        <v>9.8574857719226069E-2</v>
      </c>
      <c r="T121" s="122"/>
      <c r="V121" s="144"/>
      <c r="W121" s="138"/>
      <c r="X121" s="138"/>
      <c r="Y121" s="138"/>
      <c r="Z121" s="142"/>
    </row>
    <row r="122" spans="2:26" ht="15" hidden="1" customHeight="1" outlineLevel="2" x14ac:dyDescent="0.25">
      <c r="B122" s="586"/>
      <c r="C122" s="32"/>
      <c r="D122" s="33" t="s">
        <v>163</v>
      </c>
      <c r="E122" s="34"/>
      <c r="F122" s="34" t="str">
        <f>+CONCATENATE($B$80,"",$C$120,"",D122)</f>
        <v>22.07.002</v>
      </c>
      <c r="G122" s="588" t="s">
        <v>66</v>
      </c>
      <c r="H122" s="35">
        <f>+VLOOKUP(F122,matriz01,3,FALSE)</f>
        <v>7010</v>
      </c>
      <c r="I122" s="35">
        <f>+VLOOKUP(F122,matriz01,4,FALSE)</f>
        <v>7069.5</v>
      </c>
      <c r="J122" s="35">
        <f ca="1">+VLOOKUP(F122,matriz01,5,FALSE)</f>
        <v>69.5</v>
      </c>
      <c r="K122" s="334">
        <f t="shared" ref="K122:K187" ca="1" si="42">IFERROR(J122/I122,"0.00%")</f>
        <v>9.830964000282905E-3</v>
      </c>
      <c r="L122" s="35">
        <f>INDEX(coincidenciaP01,MATCH(F122,indicep01,0),7)</f>
        <v>69.5</v>
      </c>
      <c r="M122" s="334">
        <f t="shared" si="25"/>
        <v>9.830964000282905E-3</v>
      </c>
      <c r="N122" s="35">
        <f t="shared" si="37"/>
        <v>7000</v>
      </c>
      <c r="O122" s="334">
        <f t="shared" si="26"/>
        <v>0.99016903599971706</v>
      </c>
      <c r="P122" s="35">
        <f>+'Prog 01'!Q122</f>
        <v>557.768012</v>
      </c>
      <c r="Q122" s="35">
        <f ca="1">+'Prog 01'!R122</f>
        <v>247.37601000000001</v>
      </c>
      <c r="R122" s="334">
        <f t="shared" ca="1" si="18"/>
        <v>0.44351057191856319</v>
      </c>
      <c r="T122" s="122"/>
      <c r="V122" s="144"/>
      <c r="W122" s="138"/>
      <c r="X122" s="138"/>
      <c r="Y122" s="138"/>
      <c r="Z122" s="142"/>
    </row>
    <row r="123" spans="2:26" s="58" customFormat="1" ht="15" hidden="1" customHeight="1" outlineLevel="1" collapsed="1" x14ac:dyDescent="0.25">
      <c r="B123" s="586"/>
      <c r="C123" s="32" t="s">
        <v>182</v>
      </c>
      <c r="D123" s="33"/>
      <c r="E123" s="34"/>
      <c r="F123" s="34"/>
      <c r="G123" s="587" t="s">
        <v>67</v>
      </c>
      <c r="H123" s="35">
        <f>SUM(H124:H130)</f>
        <v>433516.47200000001</v>
      </c>
      <c r="I123" s="35">
        <f>SUM(I124:I130)</f>
        <v>443413.62800000003</v>
      </c>
      <c r="J123" s="35">
        <f ca="1">SUM(J124:J130)</f>
        <v>40845.82</v>
      </c>
      <c r="K123" s="334">
        <f t="shared" ca="1" si="42"/>
        <v>9.2116744774474985E-2</v>
      </c>
      <c r="L123" s="35">
        <f>SUM(L124:L130)</f>
        <v>245279.508</v>
      </c>
      <c r="M123" s="334">
        <f t="shared" si="25"/>
        <v>0.55316186177299898</v>
      </c>
      <c r="N123" s="35">
        <f>SUM(N124:N130)</f>
        <v>198134.12</v>
      </c>
      <c r="O123" s="334">
        <f t="shared" si="26"/>
        <v>0.44683813822700097</v>
      </c>
      <c r="P123" s="35">
        <f>+P124+P125+P127+P128+P129+P130</f>
        <v>425597.44136400003</v>
      </c>
      <c r="Q123" s="35">
        <f ca="1">SUM(Q124:Q130)</f>
        <v>60762.678462000011</v>
      </c>
      <c r="R123" s="334">
        <f t="shared" ca="1" si="18"/>
        <v>0.14277030958471298</v>
      </c>
      <c r="S123" s="26"/>
      <c r="T123" s="122"/>
      <c r="U123" s="139"/>
      <c r="V123" s="144"/>
      <c r="W123" s="138"/>
      <c r="X123" s="138"/>
      <c r="Y123" s="138"/>
      <c r="Z123" s="142"/>
    </row>
    <row r="124" spans="2:26" ht="15" hidden="1" customHeight="1" outlineLevel="2" x14ac:dyDescent="0.25">
      <c r="B124" s="586"/>
      <c r="C124" s="32"/>
      <c r="D124" s="33" t="s">
        <v>167</v>
      </c>
      <c r="E124" s="34"/>
      <c r="F124" s="34" t="str">
        <f t="shared" ref="F124:F130" si="43">+CONCATENATE($B$80,"",$C$123,"",D124)</f>
        <v>22.08.001</v>
      </c>
      <c r="G124" s="588" t="s">
        <v>68</v>
      </c>
      <c r="H124" s="35">
        <f t="shared" ref="H124:H130" si="44">+VLOOKUP(F124,matriz01,3,FALSE)</f>
        <v>118014.527</v>
      </c>
      <c r="I124" s="35">
        <f t="shared" ref="I124:I130" si="45">+VLOOKUP(F124,matriz01,4,FALSE)</f>
        <v>120568.531</v>
      </c>
      <c r="J124" s="35">
        <f t="shared" ref="J124:J130" ca="1" si="46">+VLOOKUP(F124,matriz01,5,FALSE)</f>
        <v>12309.130999999999</v>
      </c>
      <c r="K124" s="334">
        <f t="shared" ca="1" si="42"/>
        <v>0.10209240253578274</v>
      </c>
      <c r="L124" s="35">
        <f t="shared" ref="L124:L130" si="47">INDEX(coincidenciaP01,MATCH(F124,indicep01,0),7)</f>
        <v>87634.98</v>
      </c>
      <c r="M124" s="334">
        <f t="shared" si="25"/>
        <v>0.72684787044473487</v>
      </c>
      <c r="N124" s="35">
        <f t="shared" si="37"/>
        <v>32933.551000000007</v>
      </c>
      <c r="O124" s="334">
        <f t="shared" si="26"/>
        <v>0.27315212955526519</v>
      </c>
      <c r="P124" s="35">
        <f>+'Prog 01'!Q124</f>
        <v>110497.43953599999</v>
      </c>
      <c r="Q124" s="35">
        <f ca="1">+'Prog 01'!R124</f>
        <v>12085.000338000002</v>
      </c>
      <c r="R124" s="334">
        <f t="shared" ca="1" si="18"/>
        <v>0.10936905315405718</v>
      </c>
      <c r="T124" s="122"/>
      <c r="V124" s="144"/>
      <c r="W124" s="138"/>
      <c r="X124" s="138"/>
      <c r="Y124" s="138"/>
      <c r="Z124" s="142"/>
    </row>
    <row r="125" spans="2:26" ht="15" hidden="1" customHeight="1" outlineLevel="2" x14ac:dyDescent="0.25">
      <c r="B125" s="586"/>
      <c r="C125" s="32"/>
      <c r="D125" s="38" t="s">
        <v>163</v>
      </c>
      <c r="E125" s="34"/>
      <c r="F125" s="34" t="str">
        <f t="shared" si="43"/>
        <v>22.08.002</v>
      </c>
      <c r="G125" s="588" t="s">
        <v>69</v>
      </c>
      <c r="H125" s="35">
        <f t="shared" si="44"/>
        <v>500</v>
      </c>
      <c r="I125" s="35">
        <f t="shared" si="45"/>
        <v>12775.58</v>
      </c>
      <c r="J125" s="35">
        <f t="shared" ca="1" si="46"/>
        <v>972.05499999999995</v>
      </c>
      <c r="K125" s="334">
        <f t="shared" ca="1" si="42"/>
        <v>7.6086956521739121E-2</v>
      </c>
      <c r="L125" s="35">
        <f t="shared" si="47"/>
        <v>12775.58</v>
      </c>
      <c r="M125" s="334">
        <f t="shared" si="25"/>
        <v>1</v>
      </c>
      <c r="N125" s="35">
        <f t="shared" si="37"/>
        <v>0</v>
      </c>
      <c r="O125" s="334">
        <f t="shared" si="26"/>
        <v>0</v>
      </c>
      <c r="P125" s="35">
        <f>+'Prog 01'!Q125</f>
        <v>33228.329663999997</v>
      </c>
      <c r="Q125" s="35">
        <f ca="1">+'Prog 01'!R125</f>
        <v>12075.969324</v>
      </c>
      <c r="R125" s="334">
        <f t="shared" ca="1" si="18"/>
        <v>0.3634239050265371</v>
      </c>
      <c r="T125" s="122"/>
      <c r="V125" s="144"/>
      <c r="W125" s="138"/>
      <c r="X125" s="138"/>
      <c r="Y125" s="138"/>
      <c r="Z125" s="142"/>
    </row>
    <row r="126" spans="2:26" ht="15" hidden="1" customHeight="1" outlineLevel="2" x14ac:dyDescent="0.25">
      <c r="B126" s="586"/>
      <c r="C126" s="32"/>
      <c r="D126" s="38" t="s">
        <v>164</v>
      </c>
      <c r="E126" s="34"/>
      <c r="F126" s="34" t="str">
        <f t="shared" si="43"/>
        <v>22.08.003</v>
      </c>
      <c r="G126" s="588" t="s">
        <v>996</v>
      </c>
      <c r="H126" s="35">
        <v>0</v>
      </c>
      <c r="I126" s="35">
        <f>+'Prog 01'!J126</f>
        <v>0</v>
      </c>
      <c r="J126" s="35">
        <f ca="1">+'Prog 01'!K126</f>
        <v>0</v>
      </c>
      <c r="K126" s="334" t="str">
        <f t="shared" ca="1" si="42"/>
        <v>0.00%</v>
      </c>
      <c r="L126" s="35">
        <f>+'Prog 01'!M126</f>
        <v>0</v>
      </c>
      <c r="M126" s="334">
        <f t="shared" si="25"/>
        <v>0</v>
      </c>
      <c r="N126" s="35">
        <f>+'Prog 01'!O126</f>
        <v>0</v>
      </c>
      <c r="O126" s="334">
        <f t="shared" si="26"/>
        <v>0</v>
      </c>
      <c r="P126" s="35">
        <v>0</v>
      </c>
      <c r="Q126" s="35">
        <v>0</v>
      </c>
      <c r="R126" s="334" t="str">
        <f t="shared" si="18"/>
        <v>0.00%</v>
      </c>
      <c r="T126" s="122"/>
      <c r="V126" s="144"/>
      <c r="W126" s="138"/>
      <c r="X126" s="138"/>
      <c r="Y126" s="138"/>
      <c r="Z126" s="142"/>
    </row>
    <row r="127" spans="2:26" ht="15" hidden="1" customHeight="1" outlineLevel="2" x14ac:dyDescent="0.25">
      <c r="B127" s="586"/>
      <c r="C127" s="32"/>
      <c r="D127" s="33" t="s">
        <v>168</v>
      </c>
      <c r="E127" s="34"/>
      <c r="F127" s="34" t="str">
        <f t="shared" si="43"/>
        <v>22.08.007</v>
      </c>
      <c r="G127" s="611" t="s">
        <v>113</v>
      </c>
      <c r="H127" s="612">
        <f>+VLOOKUP(F127,matriz01,3,FALSE)+147200</f>
        <v>195703.899</v>
      </c>
      <c r="I127" s="612">
        <f>+VLOOKUP(F127,matriz01,4,FALSE)</f>
        <v>122880.44100000001</v>
      </c>
      <c r="J127" s="612">
        <f t="shared" ca="1" si="46"/>
        <v>16254.615999999998</v>
      </c>
      <c r="K127" s="334">
        <f t="shared" ca="1" si="42"/>
        <v>0.13227992891073687</v>
      </c>
      <c r="L127" s="612">
        <f t="shared" si="47"/>
        <v>53319.235999999997</v>
      </c>
      <c r="M127" s="334">
        <f t="shared" si="25"/>
        <v>0.43391149613468588</v>
      </c>
      <c r="N127" s="612">
        <f t="shared" si="37"/>
        <v>69561.205000000016</v>
      </c>
      <c r="O127" s="334">
        <f t="shared" si="26"/>
        <v>0.56608850386531417</v>
      </c>
      <c r="P127" s="35">
        <f>+'Prog 01'!Q127</f>
        <v>162192.054646</v>
      </c>
      <c r="Q127" s="35">
        <f ca="1">+'Prog 01'!R127</f>
        <v>15258.281088</v>
      </c>
      <c r="R127" s="334">
        <f t="shared" ca="1" si="18"/>
        <v>9.4075391802037944E-2</v>
      </c>
      <c r="T127" s="122"/>
      <c r="V127" s="144"/>
      <c r="W127" s="138"/>
      <c r="X127" s="138"/>
      <c r="Y127" s="138"/>
      <c r="Z127" s="142"/>
    </row>
    <row r="128" spans="2:26" ht="15" hidden="1" customHeight="1" outlineLevel="2" x14ac:dyDescent="0.25">
      <c r="B128" s="586"/>
      <c r="C128" s="32"/>
      <c r="D128" s="33" t="s">
        <v>169</v>
      </c>
      <c r="E128" s="34"/>
      <c r="F128" s="34" t="str">
        <f t="shared" si="43"/>
        <v>22.08.008</v>
      </c>
      <c r="G128" s="588" t="s">
        <v>114</v>
      </c>
      <c r="H128" s="35">
        <f t="shared" si="44"/>
        <v>41983.249000000003</v>
      </c>
      <c r="I128" s="35">
        <f t="shared" si="45"/>
        <v>40374.358999999997</v>
      </c>
      <c r="J128" s="35">
        <f t="shared" ca="1" si="46"/>
        <v>4512.18</v>
      </c>
      <c r="K128" s="334">
        <f t="shared" ca="1" si="42"/>
        <v>0.11175855448256158</v>
      </c>
      <c r="L128" s="35">
        <f t="shared" si="47"/>
        <v>33537.459000000003</v>
      </c>
      <c r="M128" s="334">
        <f t="shared" si="25"/>
        <v>0.8306623270477187</v>
      </c>
      <c r="N128" s="35">
        <f t="shared" si="37"/>
        <v>6836.8999999999942</v>
      </c>
      <c r="O128" s="334">
        <f t="shared" si="26"/>
        <v>0.1693376729522813</v>
      </c>
      <c r="P128" s="35">
        <f>+'Prog 01'!Q128</f>
        <v>80244.421042000002</v>
      </c>
      <c r="Q128" s="35">
        <f ca="1">+'Prog 01'!R128</f>
        <v>4889.85592</v>
      </c>
      <c r="R128" s="334">
        <f t="shared" ca="1" si="18"/>
        <v>6.0937020374795217E-2</v>
      </c>
      <c r="T128" s="122"/>
      <c r="V128" s="144"/>
      <c r="W128" s="138"/>
      <c r="X128" s="138"/>
      <c r="Y128" s="138"/>
      <c r="Z128" s="142"/>
    </row>
    <row r="129" spans="2:26" ht="15" hidden="1" customHeight="1" outlineLevel="2" x14ac:dyDescent="0.25">
      <c r="B129" s="586"/>
      <c r="C129" s="32"/>
      <c r="D129" s="33" t="s">
        <v>171</v>
      </c>
      <c r="E129" s="34"/>
      <c r="F129" s="34" t="str">
        <f t="shared" si="43"/>
        <v>22.08.010</v>
      </c>
      <c r="G129" s="588" t="s">
        <v>70</v>
      </c>
      <c r="H129" s="35">
        <f t="shared" si="44"/>
        <v>3000</v>
      </c>
      <c r="I129" s="35">
        <f t="shared" si="45"/>
        <v>3000</v>
      </c>
      <c r="J129" s="35">
        <f t="shared" ca="1" si="46"/>
        <v>411.88099999999997</v>
      </c>
      <c r="K129" s="334">
        <f t="shared" ca="1" si="42"/>
        <v>0.13729366666666665</v>
      </c>
      <c r="L129" s="35">
        <f t="shared" si="47"/>
        <v>1374.2619999999999</v>
      </c>
      <c r="M129" s="334">
        <f t="shared" si="25"/>
        <v>0.45808733333333329</v>
      </c>
      <c r="N129" s="35">
        <f t="shared" si="37"/>
        <v>1625.7380000000001</v>
      </c>
      <c r="O129" s="334">
        <f t="shared" si="26"/>
        <v>0.54191266666666671</v>
      </c>
      <c r="P129" s="35">
        <f>+'Prog 01'!Q129</f>
        <v>3126</v>
      </c>
      <c r="Q129" s="35">
        <f ca="1">+'Prog 01'!R129</f>
        <v>1565.0579499999999</v>
      </c>
      <c r="R129" s="334">
        <f t="shared" ca="1" si="18"/>
        <v>0.50065833333333332</v>
      </c>
      <c r="T129" s="122"/>
      <c r="V129" s="144"/>
      <c r="W129" s="138"/>
      <c r="X129" s="138"/>
      <c r="Y129" s="138"/>
      <c r="Z129" s="142"/>
    </row>
    <row r="130" spans="2:26" ht="15" hidden="1" customHeight="1" outlineLevel="2" x14ac:dyDescent="0.25">
      <c r="B130" s="586"/>
      <c r="C130" s="32"/>
      <c r="D130" s="33" t="s">
        <v>175</v>
      </c>
      <c r="E130" s="34"/>
      <c r="F130" s="34" t="str">
        <f t="shared" si="43"/>
        <v>22.08.999</v>
      </c>
      <c r="G130" s="588" t="s">
        <v>109</v>
      </c>
      <c r="H130" s="35">
        <f t="shared" si="44"/>
        <v>74314.797000000006</v>
      </c>
      <c r="I130" s="35">
        <f t="shared" si="45"/>
        <v>143814.717</v>
      </c>
      <c r="J130" s="35">
        <f t="shared" ca="1" si="46"/>
        <v>6385.9570000000003</v>
      </c>
      <c r="K130" s="334">
        <f t="shared" ca="1" si="42"/>
        <v>4.4404057757176547E-2</v>
      </c>
      <c r="L130" s="35">
        <f t="shared" si="47"/>
        <v>56637.991000000002</v>
      </c>
      <c r="M130" s="334">
        <f t="shared" si="25"/>
        <v>0.39382611308131976</v>
      </c>
      <c r="N130" s="35">
        <f t="shared" si="37"/>
        <v>87176.725999999995</v>
      </c>
      <c r="O130" s="334">
        <f t="shared" si="26"/>
        <v>0.60617388691868024</v>
      </c>
      <c r="P130" s="35">
        <f>+'Prog 01'!Q130</f>
        <v>36309.196476000005</v>
      </c>
      <c r="Q130" s="35">
        <f ca="1">+'Prog 01'!R130</f>
        <v>14888.513842</v>
      </c>
      <c r="R130" s="334">
        <f t="shared" ca="1" si="18"/>
        <v>0.41004801226711668</v>
      </c>
      <c r="T130" s="122"/>
      <c r="V130" s="144"/>
      <c r="W130" s="138"/>
      <c r="X130" s="138"/>
      <c r="Y130" s="138"/>
      <c r="Z130" s="142"/>
    </row>
    <row r="131" spans="2:26" s="58" customFormat="1" ht="15" hidden="1" customHeight="1" outlineLevel="1" collapsed="1" x14ac:dyDescent="0.25">
      <c r="B131" s="586"/>
      <c r="C131" s="32" t="s">
        <v>183</v>
      </c>
      <c r="D131" s="33"/>
      <c r="E131" s="34"/>
      <c r="F131" s="34"/>
      <c r="G131" s="587" t="s">
        <v>115</v>
      </c>
      <c r="H131" s="35">
        <f>SUM(H132:H135)</f>
        <v>1017845.671</v>
      </c>
      <c r="I131" s="35">
        <f>SUM(I132:I135)</f>
        <v>1043333.13</v>
      </c>
      <c r="J131" s="35">
        <f ca="1">SUM(J132:J135)</f>
        <v>61908.061000000002</v>
      </c>
      <c r="K131" s="334">
        <f t="shared" ca="1" si="42"/>
        <v>5.9336811244554269E-2</v>
      </c>
      <c r="L131" s="35">
        <f>SUM(L132:L135)</f>
        <v>979461.51799999992</v>
      </c>
      <c r="M131" s="334">
        <f t="shared" si="25"/>
        <v>0.93878119062508825</v>
      </c>
      <c r="N131" s="35">
        <f>SUM(N132:N135)</f>
        <v>63871.612000000037</v>
      </c>
      <c r="O131" s="334">
        <f t="shared" si="26"/>
        <v>6.1218809374911767E-2</v>
      </c>
      <c r="P131" s="35">
        <f>SUM(P132:P135)</f>
        <v>1059984.9200000002</v>
      </c>
      <c r="Q131" s="35">
        <f ca="1">SUM(Q132:Q135)</f>
        <v>68357.945670000001</v>
      </c>
      <c r="R131" s="334">
        <f t="shared" ca="1" si="18"/>
        <v>6.4489545445608781E-2</v>
      </c>
      <c r="S131" s="26"/>
      <c r="T131" s="122"/>
      <c r="U131" s="139"/>
      <c r="V131" s="144"/>
      <c r="W131" s="138"/>
      <c r="X131" s="138"/>
      <c r="Y131" s="138"/>
      <c r="Z131" s="142"/>
    </row>
    <row r="132" spans="2:26" ht="15" hidden="1" customHeight="1" outlineLevel="2" x14ac:dyDescent="0.25">
      <c r="B132" s="586"/>
      <c r="C132" s="32"/>
      <c r="D132" s="33" t="s">
        <v>163</v>
      </c>
      <c r="E132" s="34"/>
      <c r="F132" s="34" t="str">
        <f>+CONCATENATE($B$80,"",$C$131,"",D132)</f>
        <v>22.09.002</v>
      </c>
      <c r="G132" s="588" t="s">
        <v>71</v>
      </c>
      <c r="H132" s="35">
        <f>+VLOOKUP(F132,matriz01,3,FALSE)</f>
        <v>874508.88199999998</v>
      </c>
      <c r="I132" s="35">
        <f>+VLOOKUP(F132,matriz01,4,FALSE)</f>
        <v>874508.88199999998</v>
      </c>
      <c r="J132" s="35">
        <f ca="1">+VLOOKUP(F132,matriz01,5,FALSE)</f>
        <v>47176.546999999999</v>
      </c>
      <c r="K132" s="334">
        <f t="shared" ca="1" si="42"/>
        <v>5.3946332588535102E-2</v>
      </c>
      <c r="L132" s="35">
        <f>INDEX(coincidenciaP01,MATCH(F132,indicep01,0),7)</f>
        <v>810795.22199999995</v>
      </c>
      <c r="M132" s="334">
        <f t="shared" si="25"/>
        <v>0.92714349583930233</v>
      </c>
      <c r="N132" s="35">
        <f t="shared" si="37"/>
        <v>63713.660000000033</v>
      </c>
      <c r="O132" s="334">
        <f t="shared" si="26"/>
        <v>7.2856504160697624E-2</v>
      </c>
      <c r="P132" s="35">
        <f>+'Prog 01'!Q132</f>
        <v>918887.70000000007</v>
      </c>
      <c r="Q132" s="35">
        <f ca="1">+'Prog 01'!R132</f>
        <v>59034.830935999998</v>
      </c>
      <c r="R132" s="334">
        <f t="shared" ca="1" si="18"/>
        <v>6.4245969269150077E-2</v>
      </c>
      <c r="T132" s="122"/>
      <c r="V132" s="144"/>
      <c r="W132" s="138"/>
      <c r="X132" s="138"/>
      <c r="Y132" s="138"/>
      <c r="Z132" s="142"/>
    </row>
    <row r="133" spans="2:26" ht="15" hidden="1" customHeight="1" outlineLevel="2" x14ac:dyDescent="0.25">
      <c r="B133" s="586"/>
      <c r="C133" s="32"/>
      <c r="D133" s="33" t="s">
        <v>178</v>
      </c>
      <c r="E133" s="34"/>
      <c r="F133" s="34" t="str">
        <f>+CONCATENATE($B$80,"",$C$131,"",D133)</f>
        <v>22.09.005</v>
      </c>
      <c r="G133" s="588" t="s">
        <v>116</v>
      </c>
      <c r="H133" s="35">
        <f>+VLOOKUP(F133,matriz01,3,FALSE)</f>
        <v>28000</v>
      </c>
      <c r="I133" s="35">
        <f>+VLOOKUP(F133,matriz01,4,FALSE)</f>
        <v>28000</v>
      </c>
      <c r="J133" s="35">
        <f ca="1">+VLOOKUP(F133,matriz01,5,FALSE)</f>
        <v>1862.6880000000001</v>
      </c>
      <c r="K133" s="334">
        <f t="shared" ca="1" si="42"/>
        <v>6.6524571428571433E-2</v>
      </c>
      <c r="L133" s="35">
        <f>INDEX(coincidenciaP01,MATCH(F133,indicep01,0),7)</f>
        <v>28000</v>
      </c>
      <c r="M133" s="334">
        <f t="shared" si="25"/>
        <v>1</v>
      </c>
      <c r="N133" s="35">
        <f t="shared" si="37"/>
        <v>0</v>
      </c>
      <c r="O133" s="334">
        <f t="shared" si="26"/>
        <v>0</v>
      </c>
      <c r="P133" s="35">
        <f>+'Prog 01'!Q133</f>
        <v>28134</v>
      </c>
      <c r="Q133" s="35">
        <f ca="1">+'Prog 01'!R133</f>
        <v>1710.1918780000001</v>
      </c>
      <c r="R133" s="334">
        <f t="shared" ca="1" si="18"/>
        <v>6.0787370370370374E-2</v>
      </c>
      <c r="T133" s="122"/>
      <c r="V133" s="144"/>
      <c r="W133" s="138"/>
      <c r="X133" s="138"/>
      <c r="Y133" s="138"/>
      <c r="Z133" s="142"/>
    </row>
    <row r="134" spans="2:26" ht="15" hidden="1" customHeight="1" outlineLevel="2" x14ac:dyDescent="0.25">
      <c r="B134" s="586"/>
      <c r="C134" s="32"/>
      <c r="D134" s="33" t="s">
        <v>179</v>
      </c>
      <c r="E134" s="34"/>
      <c r="F134" s="34" t="str">
        <f>+CONCATENATE($B$80,"",$C$131,"",D134)</f>
        <v>22.09.006</v>
      </c>
      <c r="G134" s="588" t="s">
        <v>117</v>
      </c>
      <c r="H134" s="35">
        <f>+VLOOKUP(F134,matriz01,3,FALSE)</f>
        <v>112000</v>
      </c>
      <c r="I134" s="35">
        <f>+VLOOKUP(F134,matriz01,4,FALSE)</f>
        <v>112000</v>
      </c>
      <c r="J134" s="35">
        <f ca="1">+VLOOKUP(F134,matriz01,5,FALSE)</f>
        <v>10479.968000000001</v>
      </c>
      <c r="K134" s="334">
        <f t="shared" ca="1" si="42"/>
        <v>9.3571142857142867E-2</v>
      </c>
      <c r="L134" s="35">
        <f>INDEX(coincidenciaP01,MATCH(F134,indicep01,0),7)</f>
        <v>112000</v>
      </c>
      <c r="M134" s="334">
        <f t="shared" si="25"/>
        <v>1</v>
      </c>
      <c r="N134" s="35">
        <f t="shared" si="37"/>
        <v>0</v>
      </c>
      <c r="O134" s="334">
        <f t="shared" si="26"/>
        <v>0</v>
      </c>
      <c r="P134" s="35">
        <f>+'Prog 01'!Q134</f>
        <v>83086.995999999999</v>
      </c>
      <c r="Q134" s="35">
        <f ca="1">+'Prog 01'!R134</f>
        <v>7612.9228560000001</v>
      </c>
      <c r="R134" s="334">
        <f t="shared" ca="1" si="18"/>
        <v>9.1625924904060796E-2</v>
      </c>
      <c r="T134" s="122"/>
      <c r="V134" s="144"/>
      <c r="W134" s="138"/>
      <c r="X134" s="138"/>
      <c r="Y134" s="138"/>
      <c r="Z134" s="142"/>
    </row>
    <row r="135" spans="2:26" ht="15" hidden="1" customHeight="1" outlineLevel="2" x14ac:dyDescent="0.25">
      <c r="B135" s="586"/>
      <c r="C135" s="32"/>
      <c r="D135" s="33" t="s">
        <v>175</v>
      </c>
      <c r="E135" s="34"/>
      <c r="F135" s="34" t="str">
        <f>+CONCATENATE($B$80,"",$C$131,"",D135)</f>
        <v>22.09.999</v>
      </c>
      <c r="G135" s="588" t="s">
        <v>109</v>
      </c>
      <c r="H135" s="35">
        <f>+VLOOKUP(F135,matriz01,3,FALSE)</f>
        <v>3336.7890000000002</v>
      </c>
      <c r="I135" s="35">
        <f>+VLOOKUP(F135,matriz01,4,FALSE)</f>
        <v>28824.248</v>
      </c>
      <c r="J135" s="35">
        <f ca="1">+VLOOKUP(F135,matriz01,5,FALSE)</f>
        <v>2388.8580000000002</v>
      </c>
      <c r="K135" s="334">
        <f t="shared" ca="1" si="42"/>
        <v>8.2876680772383041E-2</v>
      </c>
      <c r="L135" s="35">
        <f>INDEX(coincidenciaP01,MATCH(F135,indicep01,0),7)</f>
        <v>28666.295999999998</v>
      </c>
      <c r="M135" s="334">
        <f t="shared" si="25"/>
        <v>0.99452016926859632</v>
      </c>
      <c r="N135" s="35">
        <f t="shared" si="37"/>
        <v>157.95200000000114</v>
      </c>
      <c r="O135" s="334">
        <f t="shared" si="26"/>
        <v>5.479830731403683E-3</v>
      </c>
      <c r="P135" s="35">
        <f>+'Prog 01'!Q135</f>
        <v>29876.224000000002</v>
      </c>
      <c r="Q135" s="35">
        <f ca="1">+'Prog 01'!R135</f>
        <v>0</v>
      </c>
      <c r="R135" s="334">
        <f t="shared" ca="1" si="18"/>
        <v>0</v>
      </c>
      <c r="T135" s="122"/>
      <c r="V135" s="144"/>
      <c r="W135" s="138"/>
      <c r="X135" s="138"/>
      <c r="Y135" s="138"/>
      <c r="Z135" s="142"/>
    </row>
    <row r="136" spans="2:26" s="58" customFormat="1" ht="15" hidden="1" customHeight="1" outlineLevel="1" collapsed="1" x14ac:dyDescent="0.25">
      <c r="B136" s="586"/>
      <c r="C136" s="32" t="s">
        <v>184</v>
      </c>
      <c r="D136" s="33"/>
      <c r="E136" s="34"/>
      <c r="F136" s="34"/>
      <c r="G136" s="587" t="s">
        <v>118</v>
      </c>
      <c r="H136" s="35">
        <f>SUM(H137:H138)</f>
        <v>5000</v>
      </c>
      <c r="I136" s="35">
        <f>SUM(I137:I138)</f>
        <v>5000</v>
      </c>
      <c r="J136" s="35">
        <f ca="1">SUM(J137:J138)</f>
        <v>0</v>
      </c>
      <c r="K136" s="334">
        <f t="shared" ca="1" si="42"/>
        <v>0</v>
      </c>
      <c r="L136" s="35">
        <f>SUM(L137:L138)</f>
        <v>4366.098</v>
      </c>
      <c r="M136" s="334">
        <f t="shared" si="25"/>
        <v>0.87321959999999998</v>
      </c>
      <c r="N136" s="35">
        <f>SUM(N137:N137)</f>
        <v>633.90200000000004</v>
      </c>
      <c r="O136" s="334">
        <f t="shared" si="26"/>
        <v>0.12678040000000002</v>
      </c>
      <c r="P136" s="35">
        <f>SUM(P137:P138)</f>
        <v>19807.965688</v>
      </c>
      <c r="Q136" s="35">
        <f ca="1">+Q138+Q137</f>
        <v>9.9656880000000001</v>
      </c>
      <c r="R136" s="334">
        <f t="shared" ca="1" si="18"/>
        <v>5.0311516876452292E-4</v>
      </c>
      <c r="S136" s="26"/>
      <c r="T136" s="122"/>
      <c r="U136" s="139"/>
      <c r="V136" s="144"/>
      <c r="W136" s="138"/>
      <c r="X136" s="138"/>
      <c r="Y136" s="138"/>
      <c r="Z136" s="142"/>
    </row>
    <row r="137" spans="2:26" ht="15" hidden="1" customHeight="1" outlineLevel="2" x14ac:dyDescent="0.25">
      <c r="B137" s="586"/>
      <c r="C137" s="32"/>
      <c r="D137" s="33" t="s">
        <v>163</v>
      </c>
      <c r="E137" s="34"/>
      <c r="F137" s="34" t="str">
        <f>+CONCATENATE($B$80,"",$C$136,"",D137)</f>
        <v>22.10.002</v>
      </c>
      <c r="G137" s="588" t="s">
        <v>119</v>
      </c>
      <c r="H137" s="35">
        <f>+VLOOKUP(F137,matriz01,3,FALSE)</f>
        <v>5000</v>
      </c>
      <c r="I137" s="35">
        <f>+VLOOKUP(F137,matriz01,4,FALSE)</f>
        <v>5000</v>
      </c>
      <c r="J137" s="35">
        <f ca="1">+VLOOKUP(F137,matriz01,5,FALSE)</f>
        <v>0</v>
      </c>
      <c r="K137" s="334">
        <f t="shared" ca="1" si="42"/>
        <v>0</v>
      </c>
      <c r="L137" s="35">
        <f>INDEX(coincidenciaP01,MATCH(F137,indicep01,0),7)</f>
        <v>4366.098</v>
      </c>
      <c r="M137" s="334">
        <f t="shared" si="25"/>
        <v>0.87321959999999998</v>
      </c>
      <c r="N137" s="35">
        <f t="shared" si="37"/>
        <v>633.90200000000004</v>
      </c>
      <c r="O137" s="334">
        <f t="shared" si="26"/>
        <v>0.12678040000000002</v>
      </c>
      <c r="P137" s="35">
        <f>+'Prog 01'!Q137</f>
        <v>19798</v>
      </c>
      <c r="Q137" s="35">
        <f ca="1">+'Prog 01'!R137</f>
        <v>0</v>
      </c>
      <c r="R137" s="334">
        <f t="shared" ca="1" si="18"/>
        <v>0</v>
      </c>
      <c r="T137" s="122"/>
      <c r="V137" s="144"/>
      <c r="W137" s="138"/>
      <c r="X137" s="138"/>
      <c r="Y137" s="138"/>
      <c r="Z137" s="142"/>
    </row>
    <row r="138" spans="2:26" ht="15" hidden="1" customHeight="1" outlineLevel="2" x14ac:dyDescent="0.25">
      <c r="B138" s="586"/>
      <c r="C138" s="32"/>
      <c r="D138" s="33" t="s">
        <v>177</v>
      </c>
      <c r="E138" s="34"/>
      <c r="F138" s="34" t="str">
        <f>+CONCATENATE($B$80,"",$C$136,"",D138)</f>
        <v>22.10.004</v>
      </c>
      <c r="G138" s="589" t="s">
        <v>72</v>
      </c>
      <c r="H138" s="35">
        <f>+'Prog 01'!I138</f>
        <v>0</v>
      </c>
      <c r="I138" s="35">
        <f>+VLOOKUP(F138,matriz01,4,FALSE)</f>
        <v>0</v>
      </c>
      <c r="J138" s="35">
        <f ca="1">+'Prog 01'!K138</f>
        <v>0</v>
      </c>
      <c r="K138" s="334" t="str">
        <f t="shared" ca="1" si="42"/>
        <v>0.00%</v>
      </c>
      <c r="L138" s="35">
        <f>INDEX(coincidenciaP01,MATCH(F138,indicep01,0),7)</f>
        <v>0</v>
      </c>
      <c r="M138" s="334">
        <f t="shared" si="25"/>
        <v>0</v>
      </c>
      <c r="N138" s="35">
        <f t="shared" si="37"/>
        <v>0</v>
      </c>
      <c r="O138" s="334">
        <f t="shared" si="26"/>
        <v>0</v>
      </c>
      <c r="P138" s="35">
        <f>+'Prog 01'!Q138</f>
        <v>9.9656880000000001</v>
      </c>
      <c r="Q138" s="35">
        <f ca="1">+'Prog 01'!R138</f>
        <v>9.9656880000000001</v>
      </c>
      <c r="R138" s="334">
        <f t="shared" ca="1" si="18"/>
        <v>1</v>
      </c>
      <c r="T138" s="122"/>
      <c r="V138" s="144"/>
      <c r="W138" s="138"/>
      <c r="X138" s="138"/>
      <c r="Y138" s="138"/>
      <c r="Z138" s="142"/>
    </row>
    <row r="139" spans="2:26" s="777" customFormat="1" ht="15" hidden="1" customHeight="1" outlineLevel="1" collapsed="1" x14ac:dyDescent="0.25">
      <c r="B139" s="759"/>
      <c r="C139" s="88" t="s">
        <v>185</v>
      </c>
      <c r="D139" s="779"/>
      <c r="E139" s="768"/>
      <c r="F139" s="768"/>
      <c r="G139" s="785" t="s">
        <v>73</v>
      </c>
      <c r="H139" s="29">
        <f>SUM(H140:H143)</f>
        <v>1263759.7879999999</v>
      </c>
      <c r="I139" s="29">
        <f>SUM(I140:I143)</f>
        <v>1017333.562</v>
      </c>
      <c r="J139" s="29">
        <f ca="1">SUM(J140:J143)</f>
        <v>1866.674</v>
      </c>
      <c r="K139" s="781">
        <f t="shared" ca="1" si="42"/>
        <v>1.834869181284319E-3</v>
      </c>
      <c r="L139" s="29">
        <f>SUM(L140:L143)</f>
        <v>875155.49300000002</v>
      </c>
      <c r="M139" s="781">
        <f t="shared" si="25"/>
        <v>0.86024439347062454</v>
      </c>
      <c r="N139" s="29">
        <f>SUM(N140:N143)</f>
        <v>142178.06900000008</v>
      </c>
      <c r="O139" s="781">
        <f t="shared" si="26"/>
        <v>0.13975560652937555</v>
      </c>
      <c r="P139" s="29">
        <f>+'Prog 01'!Q139</f>
        <v>773980.98531000013</v>
      </c>
      <c r="Q139" s="29">
        <f ca="1">SUM(Q140:Q143)</f>
        <v>27494.826779999999</v>
      </c>
      <c r="R139" s="781">
        <f t="shared" ref="R139:R204" ca="1" si="48">IFERROR(Q139/P139,"0.00%")</f>
        <v>3.5523904723560595E-2</v>
      </c>
      <c r="S139" s="3"/>
      <c r="T139" s="786"/>
      <c r="U139" s="787"/>
      <c r="V139" s="788"/>
      <c r="W139" s="789"/>
      <c r="X139" s="789"/>
      <c r="Y139" s="789"/>
      <c r="Z139" s="790"/>
    </row>
    <row r="140" spans="2:26" s="1" customFormat="1" ht="15" hidden="1" customHeight="1" outlineLevel="2" x14ac:dyDescent="0.25">
      <c r="B140" s="759"/>
      <c r="C140" s="88"/>
      <c r="D140" s="779" t="s">
        <v>167</v>
      </c>
      <c r="E140" s="768"/>
      <c r="F140" s="768" t="str">
        <f>+CONCATENATE($B$80,"",$C$139,"",D140)</f>
        <v>22.11.001</v>
      </c>
      <c r="G140" s="695" t="s">
        <v>74</v>
      </c>
      <c r="H140" s="29">
        <f>+VLOOKUP(F140,matriz01,3,FALSE)</f>
        <v>311405.04100000003</v>
      </c>
      <c r="I140" s="29">
        <f>+VLOOKUP(F140,matriz01,4,FALSE)</f>
        <v>288105.04200000002</v>
      </c>
      <c r="J140" s="29">
        <f ca="1">+VLOOKUP(F140,matriz01,5,FALSE)</f>
        <v>0</v>
      </c>
      <c r="K140" s="781">
        <f t="shared" ca="1" si="42"/>
        <v>0</v>
      </c>
      <c r="L140" s="29">
        <f>INDEX(coincidenciaP01,MATCH(F140,indicep01,0),7)</f>
        <v>237405.04300000001</v>
      </c>
      <c r="M140" s="781">
        <f t="shared" si="25"/>
        <v>0.82402252092485073</v>
      </c>
      <c r="N140" s="29">
        <f t="shared" si="37"/>
        <v>50699.999000000011</v>
      </c>
      <c r="O140" s="781">
        <f t="shared" si="26"/>
        <v>0.1759774790751493</v>
      </c>
      <c r="P140" s="29">
        <f>+'Prog 01'!Q140</f>
        <v>170532.14137</v>
      </c>
      <c r="Q140" s="29">
        <f ca="1">+'Prog 01'!R140</f>
        <v>0</v>
      </c>
      <c r="R140" s="781">
        <f t="shared" ca="1" si="48"/>
        <v>0</v>
      </c>
      <c r="S140" s="3"/>
      <c r="T140" s="786"/>
      <c r="U140" s="76"/>
      <c r="V140" s="788"/>
      <c r="W140" s="789"/>
      <c r="X140" s="789"/>
      <c r="Y140" s="789"/>
      <c r="Z140" s="790"/>
    </row>
    <row r="141" spans="2:26" s="1" customFormat="1" ht="15" hidden="1" customHeight="1" outlineLevel="2" collapsed="1" x14ac:dyDescent="0.25">
      <c r="B141" s="759"/>
      <c r="C141" s="88"/>
      <c r="D141" s="779" t="s">
        <v>163</v>
      </c>
      <c r="E141" s="768"/>
      <c r="F141" s="768" t="str">
        <f>+CONCATENATE($B$80,"",$C$139,"",D141)</f>
        <v>22.11.002</v>
      </c>
      <c r="G141" s="695" t="s">
        <v>75</v>
      </c>
      <c r="H141" s="29">
        <f>+VLOOKUP(F141,matriz01,3,FALSE)</f>
        <v>48560</v>
      </c>
      <c r="I141" s="29">
        <f>+VLOOKUP(F141,matriz01,4,FALSE)</f>
        <v>48560</v>
      </c>
      <c r="J141" s="29">
        <f ca="1">+VLOOKUP(F141,matriz01,5,FALSE)</f>
        <v>0</v>
      </c>
      <c r="K141" s="781">
        <f t="shared" ca="1" si="42"/>
        <v>0</v>
      </c>
      <c r="L141" s="29">
        <f>INDEX(coincidenciaP01,MATCH(F141,indicep01,0),7)</f>
        <v>0</v>
      </c>
      <c r="M141" s="781">
        <f t="shared" ref="M141:M206" si="49">+IFERROR(L141/I141,0)</f>
        <v>0</v>
      </c>
      <c r="N141" s="29">
        <f t="shared" si="37"/>
        <v>48560</v>
      </c>
      <c r="O141" s="781">
        <f t="shared" ref="O141:O206" si="50">+IFERROR(N141/I141,0)</f>
        <v>1</v>
      </c>
      <c r="P141" s="29">
        <f>+'Prog 01'!Q141</f>
        <v>51116.351999999999</v>
      </c>
      <c r="Q141" s="29">
        <f ca="1">+'Prog 01'!R141</f>
        <v>0</v>
      </c>
      <c r="R141" s="781">
        <f t="shared" ca="1" si="48"/>
        <v>0</v>
      </c>
      <c r="S141" s="3"/>
      <c r="T141" s="786"/>
      <c r="U141" s="76"/>
      <c r="V141" s="788"/>
      <c r="W141" s="789"/>
      <c r="X141" s="789"/>
      <c r="Y141" s="789"/>
      <c r="Z141" s="790"/>
    </row>
    <row r="142" spans="2:26" s="1" customFormat="1" ht="15" hidden="1" customHeight="1" outlineLevel="2" x14ac:dyDescent="0.25">
      <c r="B142" s="759"/>
      <c r="C142" s="88"/>
      <c r="D142" s="779" t="s">
        <v>164</v>
      </c>
      <c r="E142" s="768"/>
      <c r="F142" s="768" t="str">
        <f>+CONCATENATE($B$80,"",$C$139,"",D142)</f>
        <v>22.11.003</v>
      </c>
      <c r="G142" s="695" t="s">
        <v>120</v>
      </c>
      <c r="H142" s="29">
        <f>+VLOOKUP(F142,matriz01,3,FALSE)</f>
        <v>898671.52599999995</v>
      </c>
      <c r="I142" s="29">
        <f>+VLOOKUP(F142,matriz01,4,FALSE)</f>
        <v>678144.43200000003</v>
      </c>
      <c r="J142" s="29">
        <f ca="1">+VLOOKUP(F142,matriz01,5,FALSE)</f>
        <v>1866.674</v>
      </c>
      <c r="K142" s="781">
        <f t="shared" ca="1" si="42"/>
        <v>2.7526201085139928E-3</v>
      </c>
      <c r="L142" s="29">
        <f>INDEX(coincidenciaP01,MATCH(F142,indicep01,0),7)</f>
        <v>637750.44999999995</v>
      </c>
      <c r="M142" s="781">
        <f t="shared" si="49"/>
        <v>0.94043454448063646</v>
      </c>
      <c r="N142" s="29">
        <f t="shared" si="37"/>
        <v>40393.982000000076</v>
      </c>
      <c r="O142" s="781">
        <f t="shared" si="50"/>
        <v>5.9565455519363569E-2</v>
      </c>
      <c r="P142" s="29">
        <f>+'Prog 01'!Q142</f>
        <v>451858.68394000002</v>
      </c>
      <c r="Q142" s="29">
        <f ca="1">+'Prog 01'!R142</f>
        <v>2621.3385600000001</v>
      </c>
      <c r="R142" s="781">
        <f t="shared" ca="1" si="48"/>
        <v>5.8012353268130932E-3</v>
      </c>
      <c r="S142" s="3"/>
      <c r="T142" s="786"/>
      <c r="U142" s="76"/>
      <c r="V142" s="788"/>
      <c r="W142" s="789"/>
      <c r="X142" s="789"/>
      <c r="Y142" s="789"/>
      <c r="Z142" s="790"/>
    </row>
    <row r="143" spans="2:26" s="1" customFormat="1" ht="15" hidden="1" customHeight="1" outlineLevel="2" x14ac:dyDescent="0.25">
      <c r="B143" s="759"/>
      <c r="C143" s="88"/>
      <c r="D143" s="779" t="s">
        <v>175</v>
      </c>
      <c r="E143" s="768"/>
      <c r="F143" s="768" t="str">
        <f>+CONCATENATE($B$80,"",$C$139,"",D143)</f>
        <v>22.11.999</v>
      </c>
      <c r="G143" s="695" t="s">
        <v>109</v>
      </c>
      <c r="H143" s="29">
        <f>+VLOOKUP(F143,matriz01,3,FALSE)</f>
        <v>5123.2209999999995</v>
      </c>
      <c r="I143" s="29">
        <f>+VLOOKUP(F143,matriz01,4,FALSE)</f>
        <v>2524.0880000000002</v>
      </c>
      <c r="J143" s="29">
        <f ca="1">+VLOOKUP(F143,matriz01,5,FALSE)</f>
        <v>0</v>
      </c>
      <c r="K143" s="781">
        <f t="shared" ca="1" si="42"/>
        <v>0</v>
      </c>
      <c r="L143" s="29">
        <f>INDEX(coincidenciaP01,MATCH(F143,indicep01,0),7)</f>
        <v>0</v>
      </c>
      <c r="M143" s="781">
        <f t="shared" si="49"/>
        <v>0</v>
      </c>
      <c r="N143" s="29">
        <f t="shared" si="37"/>
        <v>2524.0880000000002</v>
      </c>
      <c r="O143" s="781">
        <f t="shared" si="50"/>
        <v>1</v>
      </c>
      <c r="P143" s="29">
        <f>+'Prog 01'!Q143</f>
        <v>100473.808</v>
      </c>
      <c r="Q143" s="29">
        <f ca="1">+'Prog 01'!R143</f>
        <v>24873.488219999999</v>
      </c>
      <c r="R143" s="781">
        <f t="shared" ca="1" si="48"/>
        <v>0.24756191404629552</v>
      </c>
      <c r="S143" s="3"/>
      <c r="T143" s="786"/>
      <c r="U143" s="76"/>
      <c r="V143" s="788"/>
      <c r="W143" s="789"/>
      <c r="X143" s="789"/>
      <c r="Y143" s="789"/>
      <c r="Z143" s="790"/>
    </row>
    <row r="144" spans="2:26" s="58" customFormat="1" ht="15" hidden="1" customHeight="1" outlineLevel="1" collapsed="1" x14ac:dyDescent="0.25">
      <c r="B144" s="586"/>
      <c r="C144" s="32" t="s">
        <v>186</v>
      </c>
      <c r="D144" s="33"/>
      <c r="E144" s="34"/>
      <c r="F144" s="34"/>
      <c r="G144" s="587" t="s">
        <v>76</v>
      </c>
      <c r="H144" s="35">
        <f>SUM(H145:H147)</f>
        <v>1700</v>
      </c>
      <c r="I144" s="35">
        <f>SUM(I145:I147)</f>
        <v>3586.768</v>
      </c>
      <c r="J144" s="35">
        <f ca="1">SUM(J145:J147)</f>
        <v>2244.6080000000002</v>
      </c>
      <c r="K144" s="334">
        <f t="shared" ca="1" si="42"/>
        <v>0.62580239368701851</v>
      </c>
      <c r="L144" s="35">
        <f>SUM(L145:L147)</f>
        <v>2394.768</v>
      </c>
      <c r="M144" s="334">
        <f t="shared" si="49"/>
        <v>0.66766738188809538</v>
      </c>
      <c r="N144" s="35">
        <f>SUM(N145:N147)</f>
        <v>1191.9999999999998</v>
      </c>
      <c r="O144" s="334">
        <f t="shared" si="50"/>
        <v>0.33233261811190457</v>
      </c>
      <c r="P144" s="35">
        <f>SUM(P145:P147)</f>
        <v>8521.5468560000008</v>
      </c>
      <c r="Q144" s="35">
        <f ca="1">SUM(Q145:Q147)</f>
        <v>491.97509000000002</v>
      </c>
      <c r="R144" s="334">
        <f t="shared" ca="1" si="48"/>
        <v>5.7733073386036893E-2</v>
      </c>
      <c r="S144" s="26"/>
      <c r="T144" s="122"/>
      <c r="U144" s="139"/>
      <c r="V144" s="144"/>
      <c r="W144" s="138"/>
      <c r="X144" s="138"/>
      <c r="Y144" s="138"/>
      <c r="Z144" s="142"/>
    </row>
    <row r="145" spans="2:26" ht="15" hidden="1" customHeight="1" outlineLevel="2" x14ac:dyDescent="0.25">
      <c r="B145" s="586"/>
      <c r="C145" s="32"/>
      <c r="D145" s="33" t="s">
        <v>163</v>
      </c>
      <c r="E145" s="34"/>
      <c r="F145" s="34" t="str">
        <f>+CONCATENATE($B$80,"",$C$144,"",D145)</f>
        <v>22.12.002</v>
      </c>
      <c r="G145" s="588" t="s">
        <v>77</v>
      </c>
      <c r="H145" s="35">
        <f>+VLOOKUP(F145,matriz01,3,FALSE)</f>
        <v>1700</v>
      </c>
      <c r="I145" s="35">
        <f>+VLOOKUP(F145,matriz01,4,FALSE)</f>
        <v>2186.7689999999998</v>
      </c>
      <c r="J145" s="35">
        <f ca="1">+VLOOKUP(F145,matriz01,5,FALSE)</f>
        <v>844.60900000000004</v>
      </c>
      <c r="K145" s="334">
        <f t="shared" ca="1" si="42"/>
        <v>0.38623604047798377</v>
      </c>
      <c r="L145" s="35">
        <f>INDEX(coincidenciaP01,MATCH(F145,indicep01,0),7)</f>
        <v>994.76900000000001</v>
      </c>
      <c r="M145" s="334">
        <f t="shared" si="49"/>
        <v>0.45490355862919224</v>
      </c>
      <c r="N145" s="35">
        <f t="shared" si="37"/>
        <v>1191.9999999999998</v>
      </c>
      <c r="O145" s="334">
        <f t="shared" si="50"/>
        <v>0.5450964413708077</v>
      </c>
      <c r="P145" s="35">
        <f>+'Prog 01'!Q145</f>
        <v>8433.5103600000002</v>
      </c>
      <c r="Q145" s="35">
        <f ca="1">+'Prog 01'!R145</f>
        <v>491.97509000000002</v>
      </c>
      <c r="R145" s="334">
        <f t="shared" ca="1" si="48"/>
        <v>5.8335742650347563E-2</v>
      </c>
      <c r="T145" s="122"/>
      <c r="V145" s="144"/>
      <c r="W145" s="138"/>
      <c r="X145" s="138"/>
      <c r="Y145" s="138"/>
      <c r="Z145" s="142"/>
    </row>
    <row r="146" spans="2:26" ht="15" hidden="1" customHeight="1" outlineLevel="2" x14ac:dyDescent="0.25">
      <c r="B146" s="586"/>
      <c r="C146" s="32"/>
      <c r="D146" s="33" t="s">
        <v>164</v>
      </c>
      <c r="E146" s="34"/>
      <c r="F146" s="34" t="str">
        <f>+CONCATENATE($B$80,"",$C$144,"",D146)</f>
        <v>22.12.003</v>
      </c>
      <c r="G146" s="588" t="s">
        <v>737</v>
      </c>
      <c r="H146" s="35">
        <f>+VLOOKUP(F146,matriz01,3,FALSE)</f>
        <v>0</v>
      </c>
      <c r="I146" s="35">
        <f>+VLOOKUP(F146,matriz01,4,FALSE)</f>
        <v>0</v>
      </c>
      <c r="J146" s="35">
        <f ca="1">+VLOOKUP(F146,matriz01,5,FALSE)</f>
        <v>0</v>
      </c>
      <c r="K146" s="334" t="str">
        <f t="shared" ca="1" si="42"/>
        <v>0.00%</v>
      </c>
      <c r="L146" s="35">
        <f>INDEX(coincidenciaP01,MATCH(F146,indicep01,0),7)</f>
        <v>0</v>
      </c>
      <c r="M146" s="334">
        <f t="shared" si="49"/>
        <v>0</v>
      </c>
      <c r="N146" s="35">
        <f t="shared" si="37"/>
        <v>0</v>
      </c>
      <c r="O146" s="334">
        <f t="shared" si="50"/>
        <v>0</v>
      </c>
      <c r="P146" s="35">
        <f>+'Prog 01'!Q146</f>
        <v>0</v>
      </c>
      <c r="Q146" s="35">
        <f ca="1">+'Prog 01'!R146</f>
        <v>0</v>
      </c>
      <c r="R146" s="334" t="str">
        <f t="shared" ca="1" si="48"/>
        <v>0.00%</v>
      </c>
      <c r="T146" s="122"/>
      <c r="V146" s="144"/>
      <c r="W146" s="138"/>
      <c r="X146" s="138"/>
      <c r="Y146" s="138"/>
      <c r="Z146" s="142"/>
    </row>
    <row r="147" spans="2:26" ht="15" hidden="1" customHeight="1" outlineLevel="2" x14ac:dyDescent="0.25">
      <c r="B147" s="586"/>
      <c r="C147" s="32"/>
      <c r="D147" s="33" t="s">
        <v>175</v>
      </c>
      <c r="E147" s="34"/>
      <c r="F147" s="34" t="str">
        <f>+CONCATENATE($B$80,"",$C$144,"",D147)</f>
        <v>22.12.999</v>
      </c>
      <c r="G147" s="588" t="s">
        <v>51</v>
      </c>
      <c r="H147" s="35">
        <f>+VLOOKUP(F147,matriz01,3,FALSE)</f>
        <v>0</v>
      </c>
      <c r="I147" s="35">
        <f>+VLOOKUP(F147,matriz01,4,FALSE)</f>
        <v>1399.999</v>
      </c>
      <c r="J147" s="35">
        <f ca="1">+VLOOKUP(F147,matriz01,5,FALSE)</f>
        <v>1399.999</v>
      </c>
      <c r="K147" s="334">
        <f t="shared" ca="1" si="42"/>
        <v>1</v>
      </c>
      <c r="L147" s="35">
        <f>INDEX(coincidenciaP01,MATCH(F147,indicep01,0),7)</f>
        <v>1399.999</v>
      </c>
      <c r="M147" s="334">
        <f t="shared" si="49"/>
        <v>1</v>
      </c>
      <c r="N147" s="35">
        <f t="shared" si="37"/>
        <v>0</v>
      </c>
      <c r="O147" s="334">
        <f t="shared" si="50"/>
        <v>0</v>
      </c>
      <c r="P147" s="35">
        <f>+'Prog 01'!Q147</f>
        <v>88.036496</v>
      </c>
      <c r="Q147" s="35">
        <f ca="1">+'Prog 01'!R147</f>
        <v>0</v>
      </c>
      <c r="R147" s="334">
        <f t="shared" ca="1" si="48"/>
        <v>0</v>
      </c>
      <c r="T147" s="122"/>
      <c r="V147" s="144"/>
      <c r="W147" s="138"/>
      <c r="X147" s="138"/>
      <c r="Y147" s="138"/>
      <c r="Z147" s="142"/>
    </row>
    <row r="148" spans="2:26" ht="15" customHeight="1" outlineLevel="2" x14ac:dyDescent="0.25">
      <c r="B148" s="586">
        <v>23</v>
      </c>
      <c r="C148" s="32"/>
      <c r="D148" s="33"/>
      <c r="E148" s="34"/>
      <c r="F148" s="34"/>
      <c r="G148" s="587" t="s">
        <v>273</v>
      </c>
      <c r="H148" s="35">
        <f>+H149</f>
        <v>10</v>
      </c>
      <c r="I148" s="35">
        <f>+I149</f>
        <v>10</v>
      </c>
      <c r="J148" s="35">
        <f ca="1">+J149</f>
        <v>0</v>
      </c>
      <c r="K148" s="334">
        <f ca="1">IFERROR(J148/I148,"0.00%")</f>
        <v>0</v>
      </c>
      <c r="L148" s="35">
        <f>+L149</f>
        <v>0</v>
      </c>
      <c r="M148" s="334">
        <f>+IFERROR(L148/I148,0)</f>
        <v>0</v>
      </c>
      <c r="N148" s="35">
        <f>+N149</f>
        <v>10</v>
      </c>
      <c r="O148" s="334">
        <f>+IFERROR(N148/I148,0)</f>
        <v>1</v>
      </c>
      <c r="P148" s="35">
        <f>+'Prog 01'!Q148</f>
        <v>10.42</v>
      </c>
      <c r="Q148" s="35">
        <f ca="1">+Q149</f>
        <v>0</v>
      </c>
      <c r="R148" s="334">
        <f ca="1">IFERROR(Q148/P148,"0.00%")</f>
        <v>0</v>
      </c>
      <c r="T148" s="122"/>
      <c r="V148" s="144"/>
      <c r="W148" s="138"/>
      <c r="X148" s="138"/>
      <c r="Y148" s="138"/>
      <c r="Z148" s="142"/>
    </row>
    <row r="149" spans="2:26" ht="15" hidden="1" customHeight="1" outlineLevel="2" x14ac:dyDescent="0.25">
      <c r="B149" s="586"/>
      <c r="C149" s="32" t="s">
        <v>161</v>
      </c>
      <c r="D149" s="33"/>
      <c r="E149" s="34"/>
      <c r="F149" s="34" t="s">
        <v>338</v>
      </c>
      <c r="G149" s="588" t="s">
        <v>709</v>
      </c>
      <c r="H149" s="35">
        <f>+VLOOKUP(F149,matriz01,3,FALSE)</f>
        <v>10</v>
      </c>
      <c r="I149" s="35">
        <f>+VLOOKUP(F149,matriz01,4,FALSE)</f>
        <v>10</v>
      </c>
      <c r="J149" s="35">
        <f ca="1">+VLOOKUP(F149,matriz01,5,FALSE)</f>
        <v>0</v>
      </c>
      <c r="K149" s="334">
        <f t="shared" ca="1" si="42"/>
        <v>0</v>
      </c>
      <c r="L149" s="35">
        <f>INDEX(coincidenciaP01,MATCH(F149,indicep01,0),7)</f>
        <v>0</v>
      </c>
      <c r="M149" s="334">
        <f t="shared" si="49"/>
        <v>0</v>
      </c>
      <c r="N149" s="35">
        <f t="shared" si="37"/>
        <v>10</v>
      </c>
      <c r="O149" s="334">
        <f t="shared" si="50"/>
        <v>1</v>
      </c>
      <c r="P149" s="35">
        <f>+'Prog 01'!Q149</f>
        <v>10.42</v>
      </c>
      <c r="Q149" s="35">
        <f ca="1">+'Prog 01'!R149</f>
        <v>0</v>
      </c>
      <c r="R149" s="334">
        <f t="shared" ca="1" si="48"/>
        <v>0</v>
      </c>
      <c r="T149" s="122"/>
      <c r="V149" s="144"/>
      <c r="W149" s="138"/>
      <c r="X149" s="138"/>
      <c r="Y149" s="138"/>
      <c r="Z149" s="142"/>
    </row>
    <row r="150" spans="2:26" ht="15" hidden="1" customHeight="1" outlineLevel="2" x14ac:dyDescent="0.25">
      <c r="B150" s="586"/>
      <c r="C150" s="32"/>
      <c r="D150" s="33" t="s">
        <v>167</v>
      </c>
      <c r="E150" s="34"/>
      <c r="F150" s="34" t="s">
        <v>1020</v>
      </c>
      <c r="G150" s="588" t="s">
        <v>1017</v>
      </c>
      <c r="H150" s="35">
        <f>+'Prog 01'!I150</f>
        <v>1</v>
      </c>
      <c r="I150" s="35">
        <f>+'Prog 01'!J150</f>
        <v>1</v>
      </c>
      <c r="J150" s="35">
        <f>+'Prog 01'!K150</f>
        <v>0</v>
      </c>
      <c r="K150" s="334">
        <f>+'Prog 01'!L150</f>
        <v>0</v>
      </c>
      <c r="L150" s="35">
        <f>+'Prog 01'!M150</f>
        <v>0</v>
      </c>
      <c r="M150" s="334">
        <f>+'Prog 01'!N150</f>
        <v>0</v>
      </c>
      <c r="N150" s="35">
        <f>+'Prog 01'!O150</f>
        <v>1</v>
      </c>
      <c r="O150" s="334">
        <f>+'Prog 01'!P150</f>
        <v>1</v>
      </c>
      <c r="P150" s="35">
        <v>0</v>
      </c>
      <c r="Q150" s="35">
        <v>0</v>
      </c>
      <c r="R150" s="334">
        <v>0</v>
      </c>
      <c r="T150" s="122"/>
      <c r="V150" s="144"/>
      <c r="W150" s="138"/>
      <c r="X150" s="138"/>
      <c r="Y150" s="138"/>
      <c r="Z150" s="142"/>
    </row>
    <row r="151" spans="2:26" ht="15" hidden="1" customHeight="1" outlineLevel="2" x14ac:dyDescent="0.25">
      <c r="B151" s="586"/>
      <c r="C151" s="32"/>
      <c r="D151" s="33" t="s">
        <v>164</v>
      </c>
      <c r="E151" s="34"/>
      <c r="F151" s="34" t="s">
        <v>275</v>
      </c>
      <c r="G151" s="588" t="s">
        <v>274</v>
      </c>
      <c r="H151" s="35">
        <f>+VLOOKUP(F151,matriz01,3,FALSE)</f>
        <v>8</v>
      </c>
      <c r="I151" s="35">
        <f>+VLOOKUP(F151,matriz01,4,FALSE)</f>
        <v>8</v>
      </c>
      <c r="J151" s="35">
        <f ca="1">+VLOOKUP(F151,matriz01,5,FALSE)</f>
        <v>0</v>
      </c>
      <c r="K151" s="334">
        <f t="shared" ca="1" si="42"/>
        <v>0</v>
      </c>
      <c r="L151" s="35">
        <f>INDEX(coincidenciaP01,MATCH(F151,indicep01,0),7)</f>
        <v>0</v>
      </c>
      <c r="M151" s="334">
        <f t="shared" si="49"/>
        <v>0</v>
      </c>
      <c r="N151" s="35">
        <f t="shared" si="37"/>
        <v>8</v>
      </c>
      <c r="O151" s="334">
        <f t="shared" si="50"/>
        <v>1</v>
      </c>
      <c r="P151" s="35">
        <f>+'Prog 01'!Q151</f>
        <v>10.42</v>
      </c>
      <c r="Q151" s="35">
        <f ca="1">+'Prog 01'!R151</f>
        <v>0</v>
      </c>
      <c r="R151" s="334">
        <f t="shared" ca="1" si="48"/>
        <v>0</v>
      </c>
      <c r="T151" s="122"/>
      <c r="V151" s="144"/>
      <c r="W151" s="138"/>
      <c r="X151" s="138"/>
      <c r="Y151" s="138"/>
      <c r="Z151" s="142"/>
    </row>
    <row r="152" spans="2:26" ht="15" hidden="1" customHeight="1" outlineLevel="2" x14ac:dyDescent="0.25">
      <c r="B152" s="586"/>
      <c r="C152" s="32"/>
      <c r="D152" s="33" t="s">
        <v>177</v>
      </c>
      <c r="E152" s="34"/>
      <c r="F152" s="34" t="str">
        <f>+'Prog 01'!G152</f>
        <v>23.03.004</v>
      </c>
      <c r="G152" s="588" t="str">
        <f>+'Prog 01'!H152</f>
        <v>Otras Indemnizaciones</v>
      </c>
      <c r="H152" s="35">
        <v>0</v>
      </c>
      <c r="I152" s="35">
        <v>0</v>
      </c>
      <c r="J152" s="35">
        <v>0</v>
      </c>
      <c r="K152" s="334" t="str">
        <f t="shared" si="42"/>
        <v>0.00%</v>
      </c>
      <c r="L152" s="35">
        <v>0</v>
      </c>
      <c r="M152" s="334">
        <f t="shared" si="49"/>
        <v>0</v>
      </c>
      <c r="N152" s="35">
        <v>0</v>
      </c>
      <c r="O152" s="334">
        <f t="shared" si="50"/>
        <v>0</v>
      </c>
      <c r="P152" s="35">
        <f>+'Prog 01'!Q152</f>
        <v>0</v>
      </c>
      <c r="Q152" s="35">
        <f ca="1">+'Prog 01'!R152</f>
        <v>0</v>
      </c>
      <c r="R152" s="334" t="str">
        <f t="shared" ca="1" si="48"/>
        <v>0.00%</v>
      </c>
      <c r="T152" s="122"/>
      <c r="V152" s="144"/>
      <c r="W152" s="138"/>
      <c r="X152" s="138"/>
      <c r="Y152" s="138"/>
      <c r="Z152" s="142"/>
    </row>
    <row r="153" spans="2:26" ht="15" customHeight="1" x14ac:dyDescent="0.25">
      <c r="B153" s="586">
        <v>24</v>
      </c>
      <c r="C153" s="32" t="s">
        <v>2</v>
      </c>
      <c r="D153" s="33"/>
      <c r="E153" s="34"/>
      <c r="F153" s="34"/>
      <c r="G153" s="587" t="s">
        <v>147</v>
      </c>
      <c r="H153" s="35">
        <f>+H163+H185+H203+H154+H211</f>
        <v>86148546</v>
      </c>
      <c r="I153" s="35">
        <f>+I163+I185+I203+I154+I211</f>
        <v>86148546</v>
      </c>
      <c r="J153" s="35">
        <f ca="1">+J163+J185+J203+J154+J211</f>
        <v>251962.87299999999</v>
      </c>
      <c r="K153" s="334">
        <f ca="1">IFERROR(J153/I153,"0.00%")</f>
        <v>2.9247489911205233E-3</v>
      </c>
      <c r="L153" s="35">
        <f>+L163+L185+L203+L154+L211</f>
        <v>1174510.8559999999</v>
      </c>
      <c r="M153" s="334">
        <f>+IFERROR(L153/I153,0)</f>
        <v>1.3633554024231586E-2</v>
      </c>
      <c r="N153" s="35">
        <f>+N163+N185+N203+N154+N211</f>
        <v>84974035.144000009</v>
      </c>
      <c r="O153" s="334">
        <f>+IFERROR(N153/I153,0)</f>
        <v>0.9863664459757685</v>
      </c>
      <c r="P153" s="35">
        <f>+P163+P185+P203+P154</f>
        <v>89516659.084000006</v>
      </c>
      <c r="Q153" s="35">
        <f ca="1">+Q163+Q185+Q203+Q154</f>
        <v>9924026.1537239999</v>
      </c>
      <c r="R153" s="334">
        <f ca="1">IFERROR(Q153/P153,"0.00%")</f>
        <v>0.1108623384214056</v>
      </c>
      <c r="T153" s="122"/>
      <c r="V153" s="144"/>
      <c r="W153" s="138"/>
      <c r="X153" s="138"/>
      <c r="Y153" s="138"/>
      <c r="Z153" s="142"/>
    </row>
    <row r="154" spans="2:26" ht="15" hidden="1" customHeight="1" outlineLevel="1" x14ac:dyDescent="0.25">
      <c r="B154" s="586" t="s">
        <v>2</v>
      </c>
      <c r="C154" s="38" t="s">
        <v>302</v>
      </c>
      <c r="D154" s="33"/>
      <c r="E154" s="34"/>
      <c r="F154" s="34"/>
      <c r="G154" s="587" t="s">
        <v>303</v>
      </c>
      <c r="H154" s="35">
        <f>SUM(H155:H162)</f>
        <v>2681203</v>
      </c>
      <c r="I154" s="35">
        <f>SUM(I155:I162)</f>
        <v>2681203</v>
      </c>
      <c r="J154" s="35">
        <f ca="1">SUM(J155:J162)</f>
        <v>15778.943000000001</v>
      </c>
      <c r="K154" s="334">
        <f ca="1">IFERROR(J154/I154,"0.00%")</f>
        <v>5.8850236255889622E-3</v>
      </c>
      <c r="L154" s="35">
        <f>SUM(L155:L162)</f>
        <v>478117.20999999996</v>
      </c>
      <c r="M154" s="334">
        <f t="shared" si="49"/>
        <v>0.17832189878946128</v>
      </c>
      <c r="N154" s="35">
        <f>SUM(N155:N162)</f>
        <v>2203085.79</v>
      </c>
      <c r="O154" s="334">
        <f t="shared" si="50"/>
        <v>0.82167810121053875</v>
      </c>
      <c r="P154" s="35">
        <f>+SUM(P155:P162)</f>
        <v>0</v>
      </c>
      <c r="Q154" s="35">
        <f ca="1">+SUM(Q155:Q162)</f>
        <v>0</v>
      </c>
      <c r="R154" s="334" t="str">
        <f t="shared" ca="1" si="48"/>
        <v>0.00%</v>
      </c>
      <c r="T154" s="122"/>
      <c r="V154" s="144"/>
      <c r="W154" s="138"/>
      <c r="X154" s="138"/>
      <c r="Y154" s="138"/>
      <c r="Z154" s="142"/>
    </row>
    <row r="155" spans="2:26" ht="15" hidden="1" customHeight="1" outlineLevel="1" x14ac:dyDescent="0.25">
      <c r="B155" s="586"/>
      <c r="C155" s="38"/>
      <c r="D155" s="33"/>
      <c r="E155" s="34"/>
      <c r="F155" s="81" t="s">
        <v>845</v>
      </c>
      <c r="G155" s="588" t="str">
        <f>+'Prog 01'!H155</f>
        <v>Fundación para la Promoción y Desarrollo de la Muj</v>
      </c>
      <c r="H155" s="35">
        <v>0</v>
      </c>
      <c r="I155" s="35">
        <v>0</v>
      </c>
      <c r="J155" s="35">
        <f ca="1">+'Prog 01'!K155</f>
        <v>0</v>
      </c>
      <c r="K155" s="334" t="str">
        <f t="shared" ca="1" si="42"/>
        <v>0.00%</v>
      </c>
      <c r="L155" s="35">
        <f>+'Prog 01'!M154</f>
        <v>0</v>
      </c>
      <c r="M155" s="334">
        <f t="shared" si="49"/>
        <v>0</v>
      </c>
      <c r="N155" s="35">
        <f>+'Prog 01'!O155</f>
        <v>0</v>
      </c>
      <c r="O155" s="334">
        <f t="shared" si="50"/>
        <v>0</v>
      </c>
      <c r="P155" s="35">
        <f>+'Prog 01'!Q155</f>
        <v>0</v>
      </c>
      <c r="Q155" s="35">
        <f ca="1">+'Prog 01'!R155</f>
        <v>0</v>
      </c>
      <c r="R155" s="334" t="str">
        <f t="shared" ca="1" si="48"/>
        <v>0.00%</v>
      </c>
      <c r="T155" s="122"/>
      <c r="V155" s="144"/>
      <c r="W155" s="138"/>
      <c r="X155" s="138"/>
      <c r="Y155" s="138"/>
      <c r="Z155" s="142"/>
    </row>
    <row r="156" spans="2:26" ht="15" hidden="1" customHeight="1" outlineLevel="1" x14ac:dyDescent="0.25">
      <c r="B156" s="586"/>
      <c r="C156" s="38"/>
      <c r="D156" s="33"/>
      <c r="E156" s="34"/>
      <c r="F156" s="81" t="s">
        <v>1033</v>
      </c>
      <c r="G156" s="588" t="s">
        <v>299</v>
      </c>
      <c r="H156" s="35">
        <f>+'Prog 02'!H14</f>
        <v>2681203</v>
      </c>
      <c r="I156" s="35">
        <f>+'Prog 02'!I14</f>
        <v>2681203</v>
      </c>
      <c r="J156" s="35">
        <f>+'Prog 02'!J14</f>
        <v>15778.943000000001</v>
      </c>
      <c r="K156" s="334">
        <f>+'Prog 02'!K14</f>
        <v>5.8850236255889622E-3</v>
      </c>
      <c r="L156" s="35">
        <f>+'Prog 02'!L14</f>
        <v>478117.20999999996</v>
      </c>
      <c r="M156" s="334">
        <f>+'Prog 02'!M14</f>
        <v>0.17832189878946128</v>
      </c>
      <c r="N156" s="35">
        <f>+'Prog 02'!N14</f>
        <v>2203085.79</v>
      </c>
      <c r="O156" s="334">
        <f>+'Prog 02'!O14</f>
        <v>0.82167810121053875</v>
      </c>
      <c r="P156" s="35">
        <f>+'Prog 02'!P14</f>
        <v>0</v>
      </c>
      <c r="Q156" s="35">
        <f>+'Prog 02'!Q14</f>
        <v>0</v>
      </c>
      <c r="R156" s="334"/>
      <c r="T156" s="122"/>
      <c r="V156" s="144"/>
      <c r="W156" s="138"/>
      <c r="X156" s="138"/>
      <c r="Y156" s="138"/>
      <c r="Z156" s="142"/>
    </row>
    <row r="157" spans="2:26" ht="15" hidden="1" customHeight="1" outlineLevel="1" x14ac:dyDescent="0.25">
      <c r="B157" s="586"/>
      <c r="C157" s="38"/>
      <c r="D157" s="33"/>
      <c r="E157" s="34"/>
      <c r="F157" s="81" t="s">
        <v>301</v>
      </c>
      <c r="G157" s="590" t="s">
        <v>605</v>
      </c>
      <c r="H157" s="35">
        <v>0</v>
      </c>
      <c r="I157" s="35">
        <v>0</v>
      </c>
      <c r="J157" s="35">
        <v>0</v>
      </c>
      <c r="K157" s="334" t="str">
        <f t="shared" si="42"/>
        <v>0.00%</v>
      </c>
      <c r="L157" s="35">
        <v>0</v>
      </c>
      <c r="M157" s="334">
        <f t="shared" si="49"/>
        <v>0</v>
      </c>
      <c r="N157" s="35">
        <v>0</v>
      </c>
      <c r="O157" s="334">
        <f t="shared" si="50"/>
        <v>0</v>
      </c>
      <c r="P157" s="35">
        <f>+'Prog 01'!Q156</f>
        <v>0</v>
      </c>
      <c r="Q157" s="35">
        <f ca="1">+'Prog 01'!R156</f>
        <v>0</v>
      </c>
      <c r="R157" s="334" t="str">
        <f t="shared" ca="1" si="48"/>
        <v>0.00%</v>
      </c>
      <c r="T157" s="122"/>
      <c r="V157" s="144"/>
      <c r="W157" s="138"/>
      <c r="X157" s="138"/>
      <c r="Y157" s="138"/>
      <c r="Z157" s="142"/>
    </row>
    <row r="158" spans="2:26" ht="15" hidden="1" customHeight="1" outlineLevel="1" x14ac:dyDescent="0.25">
      <c r="B158" s="586"/>
      <c r="C158" s="38"/>
      <c r="D158" s="33"/>
      <c r="E158" s="34"/>
      <c r="F158" s="81" t="s">
        <v>308</v>
      </c>
      <c r="G158" s="590" t="s">
        <v>610</v>
      </c>
      <c r="H158" s="35">
        <v>0</v>
      </c>
      <c r="I158" s="35">
        <v>0</v>
      </c>
      <c r="J158" s="35">
        <v>0</v>
      </c>
      <c r="K158" s="334" t="str">
        <f t="shared" si="42"/>
        <v>0.00%</v>
      </c>
      <c r="L158" s="35">
        <v>0</v>
      </c>
      <c r="M158" s="334">
        <f t="shared" si="49"/>
        <v>0</v>
      </c>
      <c r="N158" s="35">
        <v>0</v>
      </c>
      <c r="O158" s="334">
        <f t="shared" si="50"/>
        <v>0</v>
      </c>
      <c r="P158" s="35">
        <f>+'Prog 01'!Q157</f>
        <v>0</v>
      </c>
      <c r="Q158" s="35">
        <f ca="1">+'Prog 01'!R157</f>
        <v>0</v>
      </c>
      <c r="R158" s="334" t="str">
        <f t="shared" ca="1" si="48"/>
        <v>0.00%</v>
      </c>
      <c r="T158" s="122"/>
      <c r="V158" s="144"/>
      <c r="W158" s="138"/>
      <c r="X158" s="138"/>
      <c r="Y158" s="138"/>
      <c r="Z158" s="142"/>
    </row>
    <row r="159" spans="2:26" ht="15" hidden="1" customHeight="1" outlineLevel="1" x14ac:dyDescent="0.25">
      <c r="B159" s="586"/>
      <c r="C159" s="38"/>
      <c r="D159" s="33"/>
      <c r="E159" s="34"/>
      <c r="F159" s="81" t="s">
        <v>329</v>
      </c>
      <c r="G159" s="590" t="s">
        <v>676</v>
      </c>
      <c r="H159" s="35">
        <v>0</v>
      </c>
      <c r="I159" s="35">
        <f>+'Prog 01'!J154</f>
        <v>0</v>
      </c>
      <c r="J159" s="35">
        <f ca="1">+'Prog 01'!K158</f>
        <v>0</v>
      </c>
      <c r="K159" s="334" t="str">
        <f t="shared" ca="1" si="42"/>
        <v>0.00%</v>
      </c>
      <c r="L159" s="35">
        <f>+'Prog 01'!M157</f>
        <v>0</v>
      </c>
      <c r="M159" s="334">
        <f t="shared" si="49"/>
        <v>0</v>
      </c>
      <c r="N159" s="35">
        <f>+'Prog 01'!O158</f>
        <v>0</v>
      </c>
      <c r="O159" s="334">
        <f t="shared" si="50"/>
        <v>0</v>
      </c>
      <c r="P159" s="35">
        <f>+'Prog 01'!Q158</f>
        <v>0</v>
      </c>
      <c r="Q159" s="35">
        <f ca="1">+'Prog 01'!R158</f>
        <v>0</v>
      </c>
      <c r="R159" s="334" t="str">
        <f t="shared" ca="1" si="48"/>
        <v>0.00%</v>
      </c>
      <c r="T159" s="122"/>
      <c r="V159" s="144"/>
      <c r="W159" s="138"/>
      <c r="X159" s="138"/>
      <c r="Y159" s="138"/>
      <c r="Z159" s="142"/>
    </row>
    <row r="160" spans="2:26" ht="15" hidden="1" customHeight="1" outlineLevel="1" x14ac:dyDescent="0.25">
      <c r="B160" s="586"/>
      <c r="C160" s="38"/>
      <c r="D160" s="33"/>
      <c r="E160" s="34"/>
      <c r="F160" s="81" t="s">
        <v>675</v>
      </c>
      <c r="G160" s="591" t="s">
        <v>677</v>
      </c>
      <c r="H160" s="35">
        <f>+'Prog 05'!H10</f>
        <v>0</v>
      </c>
      <c r="I160" s="35">
        <f>+'Prog 05'!I10</f>
        <v>0</v>
      </c>
      <c r="J160" s="35">
        <f>+'Prog 05'!J10</f>
        <v>0</v>
      </c>
      <c r="K160" s="334" t="str">
        <f t="shared" si="42"/>
        <v>0.00%</v>
      </c>
      <c r="L160" s="35">
        <f>+'Prog 05'!L10</f>
        <v>0</v>
      </c>
      <c r="M160" s="334">
        <f t="shared" si="49"/>
        <v>0</v>
      </c>
      <c r="N160" s="35">
        <f>+'Prog 05'!N10</f>
        <v>0</v>
      </c>
      <c r="O160" s="334">
        <f t="shared" si="50"/>
        <v>0</v>
      </c>
      <c r="P160" s="35">
        <f>+'Prog 01'!Q159</f>
        <v>0</v>
      </c>
      <c r="Q160" s="35">
        <f ca="1">+'Prog 01'!R159</f>
        <v>0</v>
      </c>
      <c r="R160" s="334" t="str">
        <f t="shared" ca="1" si="48"/>
        <v>0.00%</v>
      </c>
      <c r="T160" s="122"/>
      <c r="V160" s="144"/>
      <c r="W160" s="138"/>
      <c r="X160" s="138"/>
      <c r="Y160" s="138"/>
      <c r="Z160" s="142"/>
    </row>
    <row r="161" spans="2:50" ht="15" hidden="1" customHeight="1" outlineLevel="1" x14ac:dyDescent="0.25">
      <c r="B161" s="586"/>
      <c r="C161" s="38"/>
      <c r="D161" s="33"/>
      <c r="E161" s="34"/>
      <c r="F161" s="81" t="s">
        <v>770</v>
      </c>
      <c r="G161" s="590" t="s">
        <v>745</v>
      </c>
      <c r="H161" s="35">
        <v>0</v>
      </c>
      <c r="I161" s="35">
        <v>0</v>
      </c>
      <c r="J161" s="35">
        <v>0</v>
      </c>
      <c r="K161" s="334" t="str">
        <f t="shared" si="42"/>
        <v>0.00%</v>
      </c>
      <c r="L161" s="35">
        <v>0</v>
      </c>
      <c r="M161" s="334">
        <f t="shared" si="49"/>
        <v>0</v>
      </c>
      <c r="N161" s="35">
        <v>0</v>
      </c>
      <c r="O161" s="334">
        <f t="shared" si="50"/>
        <v>0</v>
      </c>
      <c r="P161" s="35">
        <f>+'Prog 01'!Q160</f>
        <v>0</v>
      </c>
      <c r="Q161" s="35">
        <f ca="1">+'Prog 01'!R160</f>
        <v>0</v>
      </c>
      <c r="R161" s="334" t="str">
        <f t="shared" ca="1" si="48"/>
        <v>0.00%</v>
      </c>
      <c r="T161" s="122"/>
      <c r="V161" s="144"/>
      <c r="W161" s="138"/>
      <c r="X161" s="138"/>
      <c r="Y161" s="138"/>
      <c r="Z161" s="142"/>
    </row>
    <row r="162" spans="2:50" ht="15" hidden="1" customHeight="1" outlineLevel="1" x14ac:dyDescent="0.25">
      <c r="B162" s="586"/>
      <c r="C162" s="38"/>
      <c r="D162" s="33"/>
      <c r="E162" s="34"/>
      <c r="F162" s="81" t="s">
        <v>771</v>
      </c>
      <c r="G162" s="590" t="s">
        <v>746</v>
      </c>
      <c r="H162" s="35">
        <v>0</v>
      </c>
      <c r="I162" s="35">
        <v>0</v>
      </c>
      <c r="J162" s="35">
        <v>0</v>
      </c>
      <c r="K162" s="334" t="str">
        <f t="shared" si="42"/>
        <v>0.00%</v>
      </c>
      <c r="L162" s="35">
        <v>0</v>
      </c>
      <c r="M162" s="334">
        <f t="shared" si="49"/>
        <v>0</v>
      </c>
      <c r="N162" s="35">
        <v>0</v>
      </c>
      <c r="O162" s="334">
        <f t="shared" si="50"/>
        <v>0</v>
      </c>
      <c r="P162" s="35">
        <f>+'Prog 01'!Q161</f>
        <v>0</v>
      </c>
      <c r="Q162" s="35">
        <f ca="1">+'Prog 01'!R161</f>
        <v>0</v>
      </c>
      <c r="R162" s="334" t="str">
        <f t="shared" ca="1" si="48"/>
        <v>0.00%</v>
      </c>
      <c r="T162" s="122"/>
      <c r="V162" s="144"/>
      <c r="W162" s="138"/>
      <c r="X162" s="138"/>
      <c r="Y162" s="138"/>
      <c r="Z162" s="142"/>
    </row>
    <row r="163" spans="2:50" ht="15" hidden="1" customHeight="1" outlineLevel="1" x14ac:dyDescent="0.25">
      <c r="B163" s="586" t="s">
        <v>2</v>
      </c>
      <c r="C163" s="32" t="s">
        <v>162</v>
      </c>
      <c r="D163" s="33"/>
      <c r="E163" s="34"/>
      <c r="F163" s="34"/>
      <c r="G163" s="587" t="s">
        <v>5</v>
      </c>
      <c r="H163" s="35">
        <f>SUM(H164:H184)</f>
        <v>0</v>
      </c>
      <c r="I163" s="35">
        <f>SUM(I164:I184)</f>
        <v>0</v>
      </c>
      <c r="J163" s="35">
        <f ca="1">SUM(J164:J184)</f>
        <v>0</v>
      </c>
      <c r="K163" s="334" t="str">
        <f t="shared" ca="1" si="42"/>
        <v>0.00%</v>
      </c>
      <c r="L163" s="35">
        <f>SUM(L164:L184)</f>
        <v>0</v>
      </c>
      <c r="M163" s="334">
        <f t="shared" si="49"/>
        <v>0</v>
      </c>
      <c r="N163" s="35">
        <f>SUM(N164:N184)</f>
        <v>0</v>
      </c>
      <c r="O163" s="334">
        <f t="shared" si="50"/>
        <v>0</v>
      </c>
      <c r="P163" s="35">
        <f>+SUM(P164:P184)</f>
        <v>0</v>
      </c>
      <c r="Q163" s="35">
        <f>+SUM(Q164:Q184)</f>
        <v>0</v>
      </c>
      <c r="R163" s="334" t="str">
        <f t="shared" si="48"/>
        <v>0.00%</v>
      </c>
      <c r="T163" s="122"/>
      <c r="V163" s="144"/>
      <c r="W163" s="138"/>
      <c r="X163" s="138"/>
      <c r="Y163" s="138"/>
      <c r="Z163" s="142"/>
      <c r="AX163" s="26"/>
    </row>
    <row r="164" spans="2:50" ht="15" hidden="1" customHeight="1" outlineLevel="1" x14ac:dyDescent="0.25">
      <c r="B164" s="586"/>
      <c r="C164" s="32"/>
      <c r="D164" s="33"/>
      <c r="E164" s="34"/>
      <c r="F164" s="81" t="s">
        <v>285</v>
      </c>
      <c r="G164" s="587" t="s">
        <v>286</v>
      </c>
      <c r="H164" s="35">
        <v>0</v>
      </c>
      <c r="I164" s="35">
        <v>0</v>
      </c>
      <c r="J164" s="36">
        <v>0</v>
      </c>
      <c r="K164" s="334" t="str">
        <f t="shared" si="42"/>
        <v>0.00%</v>
      </c>
      <c r="L164" s="35">
        <v>0</v>
      </c>
      <c r="M164" s="334">
        <f t="shared" si="49"/>
        <v>0</v>
      </c>
      <c r="N164" s="35">
        <f t="shared" ref="N164:N184" si="51">+J164-L164</f>
        <v>0</v>
      </c>
      <c r="O164" s="334">
        <f t="shared" si="50"/>
        <v>0</v>
      </c>
      <c r="P164" s="35">
        <f>+'Prog 05'!P12</f>
        <v>0</v>
      </c>
      <c r="Q164" s="35">
        <f>+'Prog 05'!Q12</f>
        <v>0</v>
      </c>
      <c r="R164" s="334" t="str">
        <f t="shared" si="48"/>
        <v>0.00%</v>
      </c>
      <c r="T164" s="122"/>
      <c r="V164" s="144"/>
      <c r="W164" s="138"/>
      <c r="X164" s="138"/>
      <c r="Y164" s="138"/>
      <c r="Z164" s="142"/>
      <c r="AX164" s="26"/>
    </row>
    <row r="165" spans="2:50" ht="15" hidden="1" customHeight="1" outlineLevel="1" x14ac:dyDescent="0.25">
      <c r="B165" s="586"/>
      <c r="C165" s="32"/>
      <c r="D165" s="33"/>
      <c r="E165" s="34"/>
      <c r="F165" s="81" t="s">
        <v>281</v>
      </c>
      <c r="G165" s="589" t="s">
        <v>307</v>
      </c>
      <c r="H165" s="35">
        <f>+'Prog 05'!H13</f>
        <v>0</v>
      </c>
      <c r="I165" s="35">
        <f>+'Prog 05'!I13</f>
        <v>0</v>
      </c>
      <c r="J165" s="35">
        <f>+'Prog 05'!J13</f>
        <v>0</v>
      </c>
      <c r="K165" s="334" t="str">
        <f t="shared" si="42"/>
        <v>0.00%</v>
      </c>
      <c r="L165" s="35">
        <f>+'Prog 05'!L13</f>
        <v>0</v>
      </c>
      <c r="M165" s="334">
        <f t="shared" si="49"/>
        <v>0</v>
      </c>
      <c r="N165" s="35">
        <f t="shared" si="51"/>
        <v>0</v>
      </c>
      <c r="O165" s="334">
        <f t="shared" si="50"/>
        <v>0</v>
      </c>
      <c r="P165" s="35">
        <f>+'Prog 05'!P13</f>
        <v>0</v>
      </c>
      <c r="Q165" s="35">
        <f>+'Prog 05'!Q13</f>
        <v>0</v>
      </c>
      <c r="R165" s="334" t="str">
        <f t="shared" si="48"/>
        <v>0.00%</v>
      </c>
      <c r="T165" s="122"/>
      <c r="V165" s="144"/>
      <c r="W165" s="138"/>
      <c r="X165" s="138"/>
      <c r="Y165" s="138"/>
      <c r="Z165" s="142"/>
      <c r="AX165" s="26"/>
    </row>
    <row r="166" spans="2:50" ht="15" hidden="1" customHeight="1" outlineLevel="1" x14ac:dyDescent="0.25">
      <c r="B166" s="586"/>
      <c r="C166" s="32"/>
      <c r="D166" s="33"/>
      <c r="E166" s="34"/>
      <c r="F166" s="81" t="s">
        <v>671</v>
      </c>
      <c r="G166" s="589" t="s">
        <v>510</v>
      </c>
      <c r="H166" s="35">
        <f>+'Prog 05'!H14</f>
        <v>0</v>
      </c>
      <c r="I166" s="35">
        <f>+'Prog 05'!I14</f>
        <v>0</v>
      </c>
      <c r="J166" s="35">
        <f>+'Prog 05'!J14</f>
        <v>0</v>
      </c>
      <c r="K166" s="334" t="str">
        <f t="shared" si="42"/>
        <v>0.00%</v>
      </c>
      <c r="L166" s="35">
        <f>+'Prog 05'!L14</f>
        <v>0</v>
      </c>
      <c r="M166" s="334">
        <f t="shared" si="49"/>
        <v>0</v>
      </c>
      <c r="N166" s="35">
        <f t="shared" si="51"/>
        <v>0</v>
      </c>
      <c r="O166" s="334">
        <f t="shared" si="50"/>
        <v>0</v>
      </c>
      <c r="P166" s="35">
        <f>+'Prog 05'!P14</f>
        <v>0</v>
      </c>
      <c r="Q166" s="35">
        <f>+'Prog 05'!Q14</f>
        <v>0</v>
      </c>
      <c r="R166" s="334" t="str">
        <f t="shared" si="48"/>
        <v>0.00%</v>
      </c>
      <c r="T166" s="122"/>
      <c r="V166" s="144"/>
      <c r="W166" s="138"/>
      <c r="X166" s="138"/>
      <c r="Y166" s="138"/>
      <c r="Z166" s="142"/>
      <c r="AX166" s="26"/>
    </row>
    <row r="167" spans="2:50" ht="15" hidden="1" customHeight="1" outlineLevel="1" x14ac:dyDescent="0.25">
      <c r="B167" s="586"/>
      <c r="C167" s="32"/>
      <c r="D167" s="33"/>
      <c r="E167" s="34"/>
      <c r="F167" s="81" t="s">
        <v>225</v>
      </c>
      <c r="G167" s="589" t="s">
        <v>660</v>
      </c>
      <c r="H167" s="35">
        <f>+'Prog 05'!H15</f>
        <v>0</v>
      </c>
      <c r="I167" s="35">
        <f>+'Prog 05'!I15</f>
        <v>0</v>
      </c>
      <c r="J167" s="35">
        <f>+'Prog 05'!J15</f>
        <v>0</v>
      </c>
      <c r="K167" s="334" t="str">
        <f t="shared" si="42"/>
        <v>0.00%</v>
      </c>
      <c r="L167" s="35">
        <f>+'Prog 05'!L15</f>
        <v>0</v>
      </c>
      <c r="M167" s="334">
        <f t="shared" si="49"/>
        <v>0</v>
      </c>
      <c r="N167" s="35">
        <f t="shared" si="51"/>
        <v>0</v>
      </c>
      <c r="O167" s="334">
        <f t="shared" si="50"/>
        <v>0</v>
      </c>
      <c r="P167" s="35">
        <f>+'Prog 05'!P15</f>
        <v>0</v>
      </c>
      <c r="Q167" s="35">
        <f>+'Prog 05'!Q15</f>
        <v>0</v>
      </c>
      <c r="R167" s="334" t="str">
        <f t="shared" si="48"/>
        <v>0.00%</v>
      </c>
      <c r="T167" s="122"/>
      <c r="V167" s="144"/>
      <c r="W167" s="138"/>
      <c r="X167" s="138"/>
      <c r="Y167" s="138"/>
      <c r="Z167" s="142"/>
      <c r="AX167" s="26"/>
    </row>
    <row r="168" spans="2:50" ht="15" hidden="1" customHeight="1" outlineLevel="1" x14ac:dyDescent="0.25">
      <c r="B168" s="586"/>
      <c r="C168" s="32"/>
      <c r="D168" s="33"/>
      <c r="E168" s="34"/>
      <c r="F168" s="81" t="s">
        <v>762</v>
      </c>
      <c r="G168" s="589" t="s">
        <v>603</v>
      </c>
      <c r="H168" s="35">
        <v>0</v>
      </c>
      <c r="I168" s="35">
        <v>0</v>
      </c>
      <c r="J168" s="35">
        <v>0</v>
      </c>
      <c r="K168" s="334" t="str">
        <f t="shared" si="42"/>
        <v>0.00%</v>
      </c>
      <c r="L168" s="35">
        <v>0</v>
      </c>
      <c r="M168" s="334">
        <f t="shared" si="49"/>
        <v>0</v>
      </c>
      <c r="N168" s="35">
        <f>+J168-L168</f>
        <v>0</v>
      </c>
      <c r="O168" s="334">
        <f t="shared" si="50"/>
        <v>0</v>
      </c>
      <c r="P168" s="35">
        <f>+'Prog 05'!P16</f>
        <v>0</v>
      </c>
      <c r="Q168" s="35">
        <f>+'Prog 05'!Q16</f>
        <v>0</v>
      </c>
      <c r="R168" s="334" t="str">
        <f t="shared" si="48"/>
        <v>0.00%</v>
      </c>
      <c r="T168" s="122"/>
      <c r="V168" s="144"/>
      <c r="W168" s="138"/>
      <c r="X168" s="138"/>
      <c r="Y168" s="138"/>
      <c r="Z168" s="142"/>
      <c r="AX168" s="26"/>
    </row>
    <row r="169" spans="2:50" ht="15" hidden="1" customHeight="1" outlineLevel="1" x14ac:dyDescent="0.25">
      <c r="B169" s="586"/>
      <c r="C169" s="32"/>
      <c r="D169" s="33"/>
      <c r="E169" s="34"/>
      <c r="F169" s="81" t="s">
        <v>226</v>
      </c>
      <c r="G169" s="589" t="s">
        <v>661</v>
      </c>
      <c r="H169" s="35">
        <f>+'Prog 05'!H17</f>
        <v>0</v>
      </c>
      <c r="I169" s="35">
        <f>+'Prog 05'!I17</f>
        <v>0</v>
      </c>
      <c r="J169" s="35">
        <f>+'Prog 05'!J17</f>
        <v>0</v>
      </c>
      <c r="K169" s="334" t="str">
        <f t="shared" si="42"/>
        <v>0.00%</v>
      </c>
      <c r="L169" s="35">
        <f>+'Prog 05'!L17</f>
        <v>0</v>
      </c>
      <c r="M169" s="334">
        <f t="shared" si="49"/>
        <v>0</v>
      </c>
      <c r="N169" s="35">
        <f t="shared" si="51"/>
        <v>0</v>
      </c>
      <c r="O169" s="334">
        <f t="shared" si="50"/>
        <v>0</v>
      </c>
      <c r="P169" s="35">
        <f>+'Prog 05'!P17</f>
        <v>0</v>
      </c>
      <c r="Q169" s="35">
        <f>+'Prog 05'!Q17</f>
        <v>0</v>
      </c>
      <c r="R169" s="334" t="str">
        <f t="shared" si="48"/>
        <v>0.00%</v>
      </c>
      <c r="T169" s="122"/>
      <c r="V169" s="144"/>
      <c r="W169" s="138"/>
      <c r="X169" s="138"/>
      <c r="Y169" s="138"/>
      <c r="Z169" s="142"/>
      <c r="AX169" s="26"/>
    </row>
    <row r="170" spans="2:50" ht="15" hidden="1" customHeight="1" outlineLevel="1" x14ac:dyDescent="0.25">
      <c r="B170" s="586"/>
      <c r="C170" s="32"/>
      <c r="D170" s="33"/>
      <c r="E170" s="34"/>
      <c r="F170" s="81" t="s">
        <v>227</v>
      </c>
      <c r="G170" s="589" t="s">
        <v>662</v>
      </c>
      <c r="H170" s="35">
        <f>+'Prog 05'!H18</f>
        <v>0</v>
      </c>
      <c r="I170" s="35">
        <f>+'Prog 05'!I18</f>
        <v>0</v>
      </c>
      <c r="J170" s="35">
        <f>+'Prog 05'!J18</f>
        <v>0</v>
      </c>
      <c r="K170" s="334" t="str">
        <f t="shared" si="42"/>
        <v>0.00%</v>
      </c>
      <c r="L170" s="35">
        <f>+'Prog 05'!L18</f>
        <v>0</v>
      </c>
      <c r="M170" s="334">
        <f t="shared" si="49"/>
        <v>0</v>
      </c>
      <c r="N170" s="35">
        <f t="shared" si="51"/>
        <v>0</v>
      </c>
      <c r="O170" s="334">
        <f t="shared" si="50"/>
        <v>0</v>
      </c>
      <c r="P170" s="35">
        <f>+'Prog 05'!P18</f>
        <v>0</v>
      </c>
      <c r="Q170" s="35">
        <f>+'Prog 05'!Q18</f>
        <v>0</v>
      </c>
      <c r="R170" s="334" t="str">
        <f t="shared" si="48"/>
        <v>0.00%</v>
      </c>
      <c r="T170" s="122"/>
      <c r="V170" s="144"/>
      <c r="W170" s="138"/>
      <c r="X170" s="138"/>
      <c r="Y170" s="138"/>
      <c r="Z170" s="142"/>
      <c r="AX170" s="26"/>
    </row>
    <row r="171" spans="2:50" ht="15" hidden="1" customHeight="1" outlineLevel="1" x14ac:dyDescent="0.25">
      <c r="B171" s="586"/>
      <c r="C171" s="32"/>
      <c r="D171" s="33"/>
      <c r="E171" s="34"/>
      <c r="F171" s="81" t="s">
        <v>228</v>
      </c>
      <c r="G171" s="589" t="s">
        <v>663</v>
      </c>
      <c r="H171" s="35">
        <f>+'Prog 05'!H19</f>
        <v>0</v>
      </c>
      <c r="I171" s="35">
        <f>+'Prog 05'!I19</f>
        <v>0</v>
      </c>
      <c r="J171" s="35">
        <f>+'Prog 05'!J19</f>
        <v>0</v>
      </c>
      <c r="K171" s="334" t="str">
        <f t="shared" si="42"/>
        <v>0.00%</v>
      </c>
      <c r="L171" s="35">
        <f>+'Prog 05'!L19</f>
        <v>0</v>
      </c>
      <c r="M171" s="334">
        <f t="shared" si="49"/>
        <v>0</v>
      </c>
      <c r="N171" s="35">
        <f t="shared" si="51"/>
        <v>0</v>
      </c>
      <c r="O171" s="334">
        <f t="shared" si="50"/>
        <v>0</v>
      </c>
      <c r="P171" s="35">
        <f>+'Prog 05'!P19</f>
        <v>0</v>
      </c>
      <c r="Q171" s="35">
        <f>+'Prog 05'!Q19</f>
        <v>0</v>
      </c>
      <c r="R171" s="334" t="str">
        <f t="shared" si="48"/>
        <v>0.00%</v>
      </c>
      <c r="T171" s="122"/>
      <c r="V171" s="144"/>
      <c r="W171" s="138"/>
      <c r="X171" s="138"/>
      <c r="Y171" s="138"/>
      <c r="Z171" s="142"/>
      <c r="AX171" s="26"/>
    </row>
    <row r="172" spans="2:50" ht="15" hidden="1" customHeight="1" outlineLevel="1" x14ac:dyDescent="0.25">
      <c r="B172" s="586"/>
      <c r="C172" s="32"/>
      <c r="D172" s="33"/>
      <c r="E172" s="34"/>
      <c r="F172" s="81" t="s">
        <v>229</v>
      </c>
      <c r="G172" s="589" t="s">
        <v>664</v>
      </c>
      <c r="H172" s="35">
        <f>+'Prog 05'!H20</f>
        <v>0</v>
      </c>
      <c r="I172" s="35">
        <f>+'Prog 05'!I20</f>
        <v>0</v>
      </c>
      <c r="J172" s="35">
        <f>+'Prog 05'!J20</f>
        <v>0</v>
      </c>
      <c r="K172" s="334" t="str">
        <f t="shared" si="42"/>
        <v>0.00%</v>
      </c>
      <c r="L172" s="35">
        <f>+'Prog 05'!L20</f>
        <v>0</v>
      </c>
      <c r="M172" s="334">
        <f t="shared" si="49"/>
        <v>0</v>
      </c>
      <c r="N172" s="35">
        <f t="shared" si="51"/>
        <v>0</v>
      </c>
      <c r="O172" s="334">
        <f t="shared" si="50"/>
        <v>0</v>
      </c>
      <c r="P172" s="35">
        <f>+'Prog 05'!P20</f>
        <v>0</v>
      </c>
      <c r="Q172" s="35">
        <f>+'Prog 05'!Q20</f>
        <v>0</v>
      </c>
      <c r="R172" s="334" t="str">
        <f t="shared" si="48"/>
        <v>0.00%</v>
      </c>
      <c r="T172" s="122"/>
      <c r="V172" s="144"/>
      <c r="W172" s="138"/>
      <c r="X172" s="138"/>
      <c r="Y172" s="138"/>
      <c r="Z172" s="142"/>
      <c r="AX172" s="26"/>
    </row>
    <row r="173" spans="2:50" ht="15" hidden="1" customHeight="1" outlineLevel="1" x14ac:dyDescent="0.25">
      <c r="B173" s="586"/>
      <c r="C173" s="32"/>
      <c r="D173" s="33"/>
      <c r="E173" s="34"/>
      <c r="F173" s="81" t="s">
        <v>230</v>
      </c>
      <c r="G173" s="589" t="s">
        <v>594</v>
      </c>
      <c r="H173" s="82">
        <f>+'Prog 05'!H21</f>
        <v>0</v>
      </c>
      <c r="I173" s="82">
        <f>+'Prog 05'!I21</f>
        <v>0</v>
      </c>
      <c r="J173" s="82">
        <f>+'Prog 05'!J21</f>
        <v>0</v>
      </c>
      <c r="K173" s="334" t="str">
        <f t="shared" si="42"/>
        <v>0.00%</v>
      </c>
      <c r="L173" s="35">
        <f>+'Prog 05'!L21</f>
        <v>0</v>
      </c>
      <c r="M173" s="334">
        <f t="shared" si="49"/>
        <v>0</v>
      </c>
      <c r="N173" s="35">
        <f t="shared" si="51"/>
        <v>0</v>
      </c>
      <c r="O173" s="334">
        <f t="shared" si="50"/>
        <v>0</v>
      </c>
      <c r="P173" s="35">
        <f>+'Prog 05'!P21</f>
        <v>0</v>
      </c>
      <c r="Q173" s="35">
        <f>+'Prog 05'!Q21</f>
        <v>0</v>
      </c>
      <c r="R173" s="334" t="str">
        <f t="shared" si="48"/>
        <v>0.00%</v>
      </c>
      <c r="T173" s="122"/>
      <c r="V173" s="144"/>
      <c r="W173" s="138"/>
      <c r="X173" s="138"/>
      <c r="Y173" s="138"/>
      <c r="Z173" s="142"/>
      <c r="AX173" s="26"/>
    </row>
    <row r="174" spans="2:50" ht="15" hidden="1" customHeight="1" outlineLevel="1" x14ac:dyDescent="0.25">
      <c r="B174" s="586"/>
      <c r="C174" s="32"/>
      <c r="D174" s="33"/>
      <c r="E174" s="34"/>
      <c r="F174" s="81" t="s">
        <v>231</v>
      </c>
      <c r="G174" s="589" t="s">
        <v>696</v>
      </c>
      <c r="H174" s="82">
        <f>+'Prog 05'!H23</f>
        <v>0</v>
      </c>
      <c r="I174" s="82">
        <f>+'Prog 05'!I23</f>
        <v>0</v>
      </c>
      <c r="J174" s="82">
        <f>+'Prog 05'!J23</f>
        <v>0</v>
      </c>
      <c r="K174" s="334" t="str">
        <f t="shared" si="42"/>
        <v>0.00%</v>
      </c>
      <c r="L174" s="35">
        <f>+'Prog 05'!L23</f>
        <v>0</v>
      </c>
      <c r="M174" s="334">
        <f t="shared" si="49"/>
        <v>0</v>
      </c>
      <c r="N174" s="35">
        <f t="shared" si="51"/>
        <v>0</v>
      </c>
      <c r="O174" s="334">
        <f t="shared" si="50"/>
        <v>0</v>
      </c>
      <c r="P174" s="35">
        <f>+'Prog 05'!P22</f>
        <v>0</v>
      </c>
      <c r="Q174" s="35">
        <f>+'Prog 05'!Q22</f>
        <v>0</v>
      </c>
      <c r="R174" s="334" t="str">
        <f t="shared" si="48"/>
        <v>0.00%</v>
      </c>
      <c r="T174" s="122"/>
      <c r="V174" s="144"/>
      <c r="W174" s="138"/>
      <c r="X174" s="138"/>
      <c r="Y174" s="138"/>
      <c r="Z174" s="142"/>
      <c r="AX174" s="26"/>
    </row>
    <row r="175" spans="2:50" ht="15" hidden="1" customHeight="1" outlineLevel="1" x14ac:dyDescent="0.25">
      <c r="B175" s="586"/>
      <c r="C175" s="32"/>
      <c r="D175" s="33"/>
      <c r="E175" s="34"/>
      <c r="F175" s="81" t="s">
        <v>232</v>
      </c>
      <c r="G175" s="589" t="s">
        <v>665</v>
      </c>
      <c r="H175" s="82">
        <f>+'Prog 05'!H23</f>
        <v>0</v>
      </c>
      <c r="I175" s="82">
        <f>+'Prog 05'!I23</f>
        <v>0</v>
      </c>
      <c r="J175" s="82">
        <f>+'Prog 05'!J23</f>
        <v>0</v>
      </c>
      <c r="K175" s="334" t="str">
        <f t="shared" si="42"/>
        <v>0.00%</v>
      </c>
      <c r="L175" s="35">
        <f>+'Prog 05'!L23</f>
        <v>0</v>
      </c>
      <c r="M175" s="334">
        <f t="shared" si="49"/>
        <v>0</v>
      </c>
      <c r="N175" s="35">
        <f t="shared" si="51"/>
        <v>0</v>
      </c>
      <c r="O175" s="334">
        <f t="shared" si="50"/>
        <v>0</v>
      </c>
      <c r="P175" s="35">
        <f>+'Prog 05'!P23</f>
        <v>0</v>
      </c>
      <c r="Q175" s="35">
        <f>+'Prog 05'!Q23</f>
        <v>0</v>
      </c>
      <c r="R175" s="334" t="str">
        <f t="shared" si="48"/>
        <v>0.00%</v>
      </c>
      <c r="T175" s="122"/>
      <c r="V175" s="144"/>
      <c r="W175" s="138"/>
      <c r="X175" s="138"/>
      <c r="Y175" s="138"/>
      <c r="Z175" s="142"/>
      <c r="AX175" s="26"/>
    </row>
    <row r="176" spans="2:50" ht="15" hidden="1" customHeight="1" outlineLevel="1" x14ac:dyDescent="0.25">
      <c r="B176" s="586"/>
      <c r="C176" s="32"/>
      <c r="D176" s="33"/>
      <c r="E176" s="34"/>
      <c r="F176" s="81" t="s">
        <v>233</v>
      </c>
      <c r="G176" s="589" t="s">
        <v>666</v>
      </c>
      <c r="H176" s="82">
        <f>+'Prog 05'!H24</f>
        <v>0</v>
      </c>
      <c r="I176" s="82">
        <f>+'Prog 05'!I24</f>
        <v>0</v>
      </c>
      <c r="J176" s="82">
        <f>+'Prog 05'!J24</f>
        <v>0</v>
      </c>
      <c r="K176" s="334" t="str">
        <f t="shared" si="42"/>
        <v>0.00%</v>
      </c>
      <c r="L176" s="35">
        <f>+'Prog 05'!L24</f>
        <v>0</v>
      </c>
      <c r="M176" s="334">
        <f t="shared" si="49"/>
        <v>0</v>
      </c>
      <c r="N176" s="35">
        <f t="shared" si="51"/>
        <v>0</v>
      </c>
      <c r="O176" s="334">
        <f t="shared" si="50"/>
        <v>0</v>
      </c>
      <c r="P176" s="35">
        <f>+'Prog 05'!P24</f>
        <v>0</v>
      </c>
      <c r="Q176" s="35">
        <f>+'Prog 05'!Q24</f>
        <v>0</v>
      </c>
      <c r="R176" s="334" t="str">
        <f t="shared" si="48"/>
        <v>0.00%</v>
      </c>
      <c r="T176" s="122"/>
      <c r="V176" s="144"/>
      <c r="W176" s="138"/>
      <c r="X176" s="138"/>
      <c r="Y176" s="138"/>
      <c r="Z176" s="142"/>
      <c r="AX176" s="26"/>
    </row>
    <row r="177" spans="2:50" ht="15" hidden="1" customHeight="1" outlineLevel="1" x14ac:dyDescent="0.25">
      <c r="B177" s="586"/>
      <c r="C177" s="32"/>
      <c r="D177" s="33"/>
      <c r="E177" s="34"/>
      <c r="F177" s="81" t="s">
        <v>234</v>
      </c>
      <c r="G177" s="589" t="s">
        <v>695</v>
      </c>
      <c r="H177" s="82">
        <f>+'Prog 05'!H26</f>
        <v>0</v>
      </c>
      <c r="I177" s="82">
        <f>+'Prog 05'!I26</f>
        <v>0</v>
      </c>
      <c r="J177" s="82">
        <f>+'Prog 05'!J26</f>
        <v>0</v>
      </c>
      <c r="K177" s="334" t="str">
        <f t="shared" si="42"/>
        <v>0.00%</v>
      </c>
      <c r="L177" s="35">
        <f>+'Prog 05'!L26</f>
        <v>0</v>
      </c>
      <c r="M177" s="334">
        <f t="shared" si="49"/>
        <v>0</v>
      </c>
      <c r="N177" s="35">
        <f t="shared" si="51"/>
        <v>0</v>
      </c>
      <c r="O177" s="334">
        <f t="shared" si="50"/>
        <v>0</v>
      </c>
      <c r="P177" s="35">
        <f>+'Prog 05'!P25</f>
        <v>0</v>
      </c>
      <c r="Q177" s="35">
        <f>+'Prog 05'!Q25</f>
        <v>0</v>
      </c>
      <c r="R177" s="334" t="str">
        <f t="shared" si="48"/>
        <v>0.00%</v>
      </c>
      <c r="T177" s="122"/>
      <c r="V177" s="144"/>
      <c r="W177" s="138"/>
      <c r="X177" s="138"/>
      <c r="Y177" s="138"/>
      <c r="Z177" s="142"/>
      <c r="AX177" s="26"/>
    </row>
    <row r="178" spans="2:50" ht="15" hidden="1" customHeight="1" outlineLevel="1" x14ac:dyDescent="0.25">
      <c r="B178" s="586"/>
      <c r="C178" s="32"/>
      <c r="D178" s="33"/>
      <c r="E178" s="34"/>
      <c r="F178" s="81" t="s">
        <v>235</v>
      </c>
      <c r="G178" s="589" t="s">
        <v>667</v>
      </c>
      <c r="H178" s="82">
        <f>+'Prog 05'!H26</f>
        <v>0</v>
      </c>
      <c r="I178" s="82">
        <f>+'Prog 05'!I26</f>
        <v>0</v>
      </c>
      <c r="J178" s="82">
        <f>+'Prog 05'!J26</f>
        <v>0</v>
      </c>
      <c r="K178" s="334" t="str">
        <f t="shared" si="42"/>
        <v>0.00%</v>
      </c>
      <c r="L178" s="35">
        <f>+'Prog 05'!L26</f>
        <v>0</v>
      </c>
      <c r="M178" s="334">
        <f t="shared" si="49"/>
        <v>0</v>
      </c>
      <c r="N178" s="35">
        <f t="shared" si="51"/>
        <v>0</v>
      </c>
      <c r="O178" s="334">
        <f t="shared" si="50"/>
        <v>0</v>
      </c>
      <c r="P178" s="35">
        <f>+'Prog 05'!P26</f>
        <v>0</v>
      </c>
      <c r="Q178" s="35">
        <f>+'Prog 05'!Q26</f>
        <v>0</v>
      </c>
      <c r="R178" s="334" t="str">
        <f t="shared" si="48"/>
        <v>0.00%</v>
      </c>
      <c r="T178" s="122"/>
      <c r="V178" s="144"/>
      <c r="W178" s="138"/>
      <c r="X178" s="138"/>
      <c r="Y178" s="138"/>
      <c r="Z178" s="142"/>
      <c r="AX178" s="26"/>
    </row>
    <row r="179" spans="2:50" ht="15" hidden="1" customHeight="1" outlineLevel="1" x14ac:dyDescent="0.25">
      <c r="B179" s="586"/>
      <c r="C179" s="32"/>
      <c r="D179" s="33"/>
      <c r="E179" s="34"/>
      <c r="F179" s="81" t="s">
        <v>236</v>
      </c>
      <c r="G179" s="589" t="s">
        <v>668</v>
      </c>
      <c r="H179" s="82">
        <f>+'Prog 05'!H27</f>
        <v>0</v>
      </c>
      <c r="I179" s="82">
        <f>+'Prog 05'!I27</f>
        <v>0</v>
      </c>
      <c r="J179" s="82">
        <f>+'Prog 05'!J27</f>
        <v>0</v>
      </c>
      <c r="K179" s="334" t="str">
        <f t="shared" si="42"/>
        <v>0.00%</v>
      </c>
      <c r="L179" s="35">
        <f>+'Prog 05'!L27</f>
        <v>0</v>
      </c>
      <c r="M179" s="334">
        <f t="shared" si="49"/>
        <v>0</v>
      </c>
      <c r="N179" s="35">
        <f t="shared" si="51"/>
        <v>0</v>
      </c>
      <c r="O179" s="334">
        <f t="shared" si="50"/>
        <v>0</v>
      </c>
      <c r="P179" s="35">
        <f>+'Prog 05'!P27</f>
        <v>0</v>
      </c>
      <c r="Q179" s="35">
        <f>+'Prog 05'!Q27</f>
        <v>0</v>
      </c>
      <c r="R179" s="334" t="str">
        <f t="shared" si="48"/>
        <v>0.00%</v>
      </c>
      <c r="T179" s="122"/>
      <c r="V179" s="144"/>
      <c r="W179" s="138"/>
      <c r="X179" s="138"/>
      <c r="Y179" s="138"/>
      <c r="Z179" s="142"/>
      <c r="AX179" s="26"/>
    </row>
    <row r="180" spans="2:50" ht="15" hidden="1" customHeight="1" outlineLevel="1" x14ac:dyDescent="0.25">
      <c r="B180" s="586"/>
      <c r="C180" s="32"/>
      <c r="D180" s="33"/>
      <c r="E180" s="34"/>
      <c r="F180" s="81" t="s">
        <v>237</v>
      </c>
      <c r="G180" s="589" t="s">
        <v>669</v>
      </c>
      <c r="H180" s="82">
        <f>+'Prog 05'!H28</f>
        <v>0</v>
      </c>
      <c r="I180" s="82">
        <f>+'Prog 05'!I28</f>
        <v>0</v>
      </c>
      <c r="J180" s="82">
        <f>+'Prog 05'!J28</f>
        <v>0</v>
      </c>
      <c r="K180" s="334" t="str">
        <f t="shared" si="42"/>
        <v>0.00%</v>
      </c>
      <c r="L180" s="35">
        <f>+'Prog 05'!L28</f>
        <v>0</v>
      </c>
      <c r="M180" s="334">
        <f t="shared" si="49"/>
        <v>0</v>
      </c>
      <c r="N180" s="35">
        <f t="shared" si="51"/>
        <v>0</v>
      </c>
      <c r="O180" s="334">
        <f t="shared" si="50"/>
        <v>0</v>
      </c>
      <c r="P180" s="35">
        <f>+'Prog 05'!P28</f>
        <v>0</v>
      </c>
      <c r="Q180" s="35">
        <f>+'Prog 05'!Q28</f>
        <v>0</v>
      </c>
      <c r="R180" s="334" t="str">
        <f t="shared" si="48"/>
        <v>0.00%</v>
      </c>
      <c r="T180" s="122"/>
      <c r="V180" s="144"/>
      <c r="W180" s="138"/>
      <c r="X180" s="138"/>
      <c r="Y180" s="138"/>
      <c r="Z180" s="142"/>
      <c r="AX180" s="26"/>
    </row>
    <row r="181" spans="2:50" ht="15" hidden="1" customHeight="1" outlineLevel="1" x14ac:dyDescent="0.25">
      <c r="B181" s="586"/>
      <c r="C181" s="32"/>
      <c r="D181" s="33"/>
      <c r="E181" s="34"/>
      <c r="F181" s="81" t="s">
        <v>238</v>
      </c>
      <c r="G181" s="589" t="s">
        <v>670</v>
      </c>
      <c r="H181" s="82">
        <f>+'Prog 05'!H29</f>
        <v>0</v>
      </c>
      <c r="I181" s="82">
        <f>+'Prog 05'!I29</f>
        <v>0</v>
      </c>
      <c r="J181" s="82">
        <f>+'Prog 05'!J29</f>
        <v>0</v>
      </c>
      <c r="K181" s="334" t="str">
        <f t="shared" si="42"/>
        <v>0.00%</v>
      </c>
      <c r="L181" s="35">
        <f>+'Prog 05'!L29</f>
        <v>0</v>
      </c>
      <c r="M181" s="334">
        <f t="shared" si="49"/>
        <v>0</v>
      </c>
      <c r="N181" s="35">
        <f t="shared" si="51"/>
        <v>0</v>
      </c>
      <c r="O181" s="334">
        <f t="shared" si="50"/>
        <v>0</v>
      </c>
      <c r="P181" s="35">
        <f>+'Prog 05'!P29</f>
        <v>0</v>
      </c>
      <c r="Q181" s="35">
        <f>+'Prog 05'!Q29</f>
        <v>0</v>
      </c>
      <c r="R181" s="334" t="str">
        <f t="shared" si="48"/>
        <v>0.00%</v>
      </c>
      <c r="T181" s="122"/>
      <c r="V181" s="144"/>
      <c r="W181" s="138"/>
      <c r="X181" s="138"/>
      <c r="Y181" s="138"/>
      <c r="Z181" s="142"/>
      <c r="AX181" s="26"/>
    </row>
    <row r="182" spans="2:50" ht="15" hidden="1" customHeight="1" outlineLevel="1" x14ac:dyDescent="0.25">
      <c r="B182" s="586"/>
      <c r="C182" s="32"/>
      <c r="D182" s="33"/>
      <c r="E182" s="34"/>
      <c r="F182" s="81" t="s">
        <v>704</v>
      </c>
      <c r="G182" s="589" t="s">
        <v>595</v>
      </c>
      <c r="H182" s="82">
        <f>+'Prog 05'!H31</f>
        <v>0</v>
      </c>
      <c r="I182" s="82">
        <f>+'Prog 05'!I31</f>
        <v>0</v>
      </c>
      <c r="J182" s="82">
        <f>+'Prog 05'!J31</f>
        <v>0</v>
      </c>
      <c r="K182" s="334" t="str">
        <f t="shared" si="42"/>
        <v>0.00%</v>
      </c>
      <c r="L182" s="35">
        <f>+'Prog 05'!L31</f>
        <v>0</v>
      </c>
      <c r="M182" s="334">
        <f t="shared" si="49"/>
        <v>0</v>
      </c>
      <c r="N182" s="35">
        <f t="shared" si="51"/>
        <v>0</v>
      </c>
      <c r="O182" s="334">
        <f t="shared" si="50"/>
        <v>0</v>
      </c>
      <c r="P182" s="35">
        <f>+'Prog 05'!P30</f>
        <v>0</v>
      </c>
      <c r="Q182" s="35">
        <f>+'Prog 05'!Q30</f>
        <v>0</v>
      </c>
      <c r="R182" s="334" t="str">
        <f t="shared" si="48"/>
        <v>0.00%</v>
      </c>
      <c r="T182" s="122"/>
      <c r="V182" s="144"/>
      <c r="W182" s="138"/>
      <c r="X182" s="138"/>
      <c r="Y182" s="138"/>
      <c r="Z182" s="142"/>
      <c r="AX182" s="26"/>
    </row>
    <row r="183" spans="2:50" ht="15" hidden="1" customHeight="1" outlineLevel="1" x14ac:dyDescent="0.25">
      <c r="B183" s="586"/>
      <c r="C183" s="32"/>
      <c r="D183" s="33"/>
      <c r="E183" s="34"/>
      <c r="F183" s="81" t="s">
        <v>835</v>
      </c>
      <c r="G183" s="589" t="s">
        <v>824</v>
      </c>
      <c r="H183" s="82">
        <f>+'Prog 02'!H12</f>
        <v>0</v>
      </c>
      <c r="I183" s="82">
        <f>+'Prog 02'!I12</f>
        <v>0</v>
      </c>
      <c r="J183" s="82">
        <f ca="1">+'Prog 02'!J12</f>
        <v>0</v>
      </c>
      <c r="K183" s="334" t="str">
        <f t="shared" ca="1" si="42"/>
        <v>0.00%</v>
      </c>
      <c r="L183" s="35">
        <f>+'Prog 02'!L12</f>
        <v>0</v>
      </c>
      <c r="M183" s="334">
        <f t="shared" si="49"/>
        <v>0</v>
      </c>
      <c r="N183" s="35">
        <f>+'Prog 02'!N12</f>
        <v>0</v>
      </c>
      <c r="O183" s="334">
        <f t="shared" si="50"/>
        <v>0</v>
      </c>
      <c r="P183" s="35">
        <f>+'Prog 02'!P12</f>
        <v>0</v>
      </c>
      <c r="Q183" s="35">
        <f>+'Prog 02'!Q12</f>
        <v>0</v>
      </c>
      <c r="R183" s="334" t="str">
        <f t="shared" si="48"/>
        <v>0.00%</v>
      </c>
      <c r="T183" s="122"/>
      <c r="V183" s="144"/>
      <c r="W183" s="138"/>
      <c r="X183" s="138"/>
      <c r="Y183" s="138"/>
      <c r="Z183" s="142"/>
      <c r="AX183" s="26"/>
    </row>
    <row r="184" spans="2:50" ht="15" hidden="1" customHeight="1" outlineLevel="1" x14ac:dyDescent="0.25">
      <c r="B184" s="586"/>
      <c r="C184" s="32"/>
      <c r="D184" s="33"/>
      <c r="E184" s="34"/>
      <c r="F184" s="81" t="s">
        <v>672</v>
      </c>
      <c r="G184" s="589" t="s">
        <v>509</v>
      </c>
      <c r="H184" s="82">
        <f>+'Prog 05'!H31</f>
        <v>0</v>
      </c>
      <c r="I184" s="82">
        <f>+'Prog 05'!I31</f>
        <v>0</v>
      </c>
      <c r="J184" s="82">
        <f>+'Prog 05'!J31</f>
        <v>0</v>
      </c>
      <c r="K184" s="334" t="str">
        <f t="shared" si="42"/>
        <v>0.00%</v>
      </c>
      <c r="L184" s="35">
        <f>+'Prog 05'!L31</f>
        <v>0</v>
      </c>
      <c r="M184" s="334">
        <f t="shared" si="49"/>
        <v>0</v>
      </c>
      <c r="N184" s="35">
        <f t="shared" si="51"/>
        <v>0</v>
      </c>
      <c r="O184" s="334">
        <f t="shared" si="50"/>
        <v>0</v>
      </c>
      <c r="P184" s="35">
        <f>+'Prog 05'!P31</f>
        <v>0</v>
      </c>
      <c r="Q184" s="35">
        <f>+'Prog 05'!Q31</f>
        <v>0</v>
      </c>
      <c r="R184" s="334" t="str">
        <f t="shared" si="48"/>
        <v>0.00%</v>
      </c>
      <c r="T184" s="122"/>
      <c r="V184" s="144"/>
      <c r="W184" s="138"/>
      <c r="X184" s="138"/>
      <c r="Y184" s="138"/>
      <c r="Z184" s="142"/>
      <c r="AX184" s="26"/>
    </row>
    <row r="185" spans="2:50" ht="15" hidden="1" customHeight="1" outlineLevel="1" x14ac:dyDescent="0.25">
      <c r="B185" s="586" t="s">
        <v>2</v>
      </c>
      <c r="C185" s="32" t="s">
        <v>165</v>
      </c>
      <c r="D185" s="33"/>
      <c r="E185" s="41"/>
      <c r="F185" s="41"/>
      <c r="G185" s="587" t="s">
        <v>3</v>
      </c>
      <c r="H185" s="82">
        <f>SUM(H186:H202)</f>
        <v>82881718</v>
      </c>
      <c r="I185" s="82">
        <f>SUM(I186:I202)</f>
        <v>82881718</v>
      </c>
      <c r="J185" s="82">
        <f ca="1">SUM(J186:J202)</f>
        <v>147057.33799999999</v>
      </c>
      <c r="K185" s="334">
        <f t="shared" ca="1" si="42"/>
        <v>1.7743036890234345E-3</v>
      </c>
      <c r="L185" s="35">
        <f>SUM(L186:L202)</f>
        <v>354412.88699999999</v>
      </c>
      <c r="M185" s="334">
        <f t="shared" si="49"/>
        <v>4.2761286270634495E-3</v>
      </c>
      <c r="N185" s="35">
        <f>SUM(N186:N202)</f>
        <v>82527305.113000005</v>
      </c>
      <c r="O185" s="334">
        <f t="shared" si="50"/>
        <v>0.99572387137293661</v>
      </c>
      <c r="P185" s="35">
        <f>SUM(P186:P202)</f>
        <v>89516659.084000006</v>
      </c>
      <c r="Q185" s="35">
        <f ca="1">SUM(Q186:Q202)</f>
        <v>9924026.1537239999</v>
      </c>
      <c r="R185" s="334">
        <f t="shared" ca="1" si="48"/>
        <v>0.1108623384214056</v>
      </c>
      <c r="T185" s="122"/>
      <c r="V185" s="144"/>
      <c r="W185" s="138"/>
      <c r="X185" s="138"/>
      <c r="Y185" s="138"/>
      <c r="Z185" s="142"/>
    </row>
    <row r="186" spans="2:50" ht="15" hidden="1" customHeight="1" outlineLevel="2" x14ac:dyDescent="0.25">
      <c r="B186" s="586"/>
      <c r="C186" s="32"/>
      <c r="D186" s="39" t="s">
        <v>193</v>
      </c>
      <c r="E186" s="39"/>
      <c r="F186" s="34" t="str">
        <f t="shared" ref="F186:F191" si="52">+CONCATENATE($B$153,"",$C$185,"",D186,"",E186)</f>
        <v>24.03.024</v>
      </c>
      <c r="G186" s="588" t="s">
        <v>240</v>
      </c>
      <c r="H186" s="82">
        <f>+VLOOKUP(F186,matriz01,3,FALSE)</f>
        <v>10</v>
      </c>
      <c r="I186" s="82">
        <f>+VLOOKUP(F186,matriz01,4,FALSE)</f>
        <v>10</v>
      </c>
      <c r="J186" s="82">
        <f ca="1">+'Prog 01'!K163</f>
        <v>0</v>
      </c>
      <c r="K186" s="334">
        <f t="shared" ca="1" si="42"/>
        <v>0</v>
      </c>
      <c r="L186" s="35">
        <f>INDEX(coincidenciaP01,MATCH(F186,indicep01,0),7)</f>
        <v>0</v>
      </c>
      <c r="M186" s="334">
        <f t="shared" si="49"/>
        <v>0</v>
      </c>
      <c r="N186" s="35">
        <f>INDEX(coincidenciaP01,MATCH(F186,indicep01,0),9)</f>
        <v>10</v>
      </c>
      <c r="O186" s="334">
        <f t="shared" si="50"/>
        <v>1</v>
      </c>
      <c r="P186" s="35">
        <f>+'Prog 01'!Q163</f>
        <v>10.42</v>
      </c>
      <c r="Q186" s="35">
        <f ca="1">+'Prog 01'!R163</f>
        <v>0</v>
      </c>
      <c r="R186" s="334">
        <f t="shared" ca="1" si="48"/>
        <v>0</v>
      </c>
      <c r="T186" s="122"/>
      <c r="V186" s="144"/>
      <c r="W186" s="138"/>
      <c r="X186" s="138"/>
      <c r="Y186" s="138"/>
      <c r="Z186" s="142"/>
    </row>
    <row r="187" spans="2:50" ht="15" hidden="1" customHeight="1" outlineLevel="2" x14ac:dyDescent="0.25">
      <c r="B187" s="586"/>
      <c r="C187" s="32"/>
      <c r="D187" s="39" t="s">
        <v>194</v>
      </c>
      <c r="E187" s="39"/>
      <c r="F187" s="34" t="str">
        <f t="shared" si="52"/>
        <v>24.03.025</v>
      </c>
      <c r="G187" s="588" t="str">
        <f>+'Prog 01'!H164</f>
        <v xml:space="preserve">U. de Chile, Facultad de Gobierno - Actualización </v>
      </c>
      <c r="H187" s="82">
        <f>+'Prog 01'!I164</f>
        <v>0</v>
      </c>
      <c r="I187" s="82">
        <f>'Prog 01'!J164</f>
        <v>0</v>
      </c>
      <c r="J187" s="82">
        <f ca="1">+'Prog 01'!K164</f>
        <v>0</v>
      </c>
      <c r="K187" s="334" t="str">
        <f t="shared" ca="1" si="42"/>
        <v>0.00%</v>
      </c>
      <c r="L187" s="82">
        <f>+'Prog 01'!M163</f>
        <v>0</v>
      </c>
      <c r="M187" s="334">
        <f t="shared" si="49"/>
        <v>0</v>
      </c>
      <c r="N187" s="82">
        <f>+'Prog 01'!O164</f>
        <v>0</v>
      </c>
      <c r="O187" s="334">
        <f t="shared" si="50"/>
        <v>0</v>
      </c>
      <c r="P187" s="35">
        <f>+'Prog 01'!Q164</f>
        <v>0</v>
      </c>
      <c r="Q187" s="35">
        <f ca="1">+'Prog 01'!R164</f>
        <v>0</v>
      </c>
      <c r="R187" s="334" t="str">
        <f t="shared" ca="1" si="48"/>
        <v>0.00%</v>
      </c>
      <c r="S187" s="235"/>
      <c r="T187" s="122"/>
      <c r="V187" s="144"/>
      <c r="W187" s="138"/>
      <c r="X187" s="138"/>
      <c r="Y187" s="138"/>
      <c r="Z187" s="142"/>
    </row>
    <row r="188" spans="2:50" ht="15" hidden="1" customHeight="1" outlineLevel="2" x14ac:dyDescent="0.25">
      <c r="B188" s="586"/>
      <c r="C188" s="32"/>
      <c r="D188" s="39" t="s">
        <v>222</v>
      </c>
      <c r="E188" s="39"/>
      <c r="F188" s="34" t="str">
        <f t="shared" si="52"/>
        <v>24.03.026</v>
      </c>
      <c r="G188" s="588" t="s">
        <v>138</v>
      </c>
      <c r="H188" s="82">
        <f>+VLOOKUP(F188,matriz02,3,FALSE)</f>
        <v>1572691</v>
      </c>
      <c r="I188" s="82">
        <f>+VLOOKUP(F188,matriz02,4,FALSE)</f>
        <v>1572691</v>
      </c>
      <c r="J188" s="82">
        <f ca="1">+'Prog 02'!J21</f>
        <v>18558.999</v>
      </c>
      <c r="K188" s="334">
        <f t="shared" ref="K188:K255" ca="1" si="53">IFERROR(J188/I188,"0.00%")</f>
        <v>1.1800791763925653E-2</v>
      </c>
      <c r="L188" s="35">
        <f>+'Prog 02'!L21</f>
        <v>37459</v>
      </c>
      <c r="M188" s="334">
        <f t="shared" si="49"/>
        <v>2.3818410609585734E-2</v>
      </c>
      <c r="N188" s="35">
        <f>+'Prog 02'!N21</f>
        <v>1535232</v>
      </c>
      <c r="O188" s="334">
        <f t="shared" si="50"/>
        <v>0.97618158939041422</v>
      </c>
      <c r="P188" s="35">
        <f>+'Prog 02'!P21</f>
        <v>1613016</v>
      </c>
      <c r="Q188" s="35">
        <f>+'Prog 02'!Q21</f>
        <v>189900.32262200001</v>
      </c>
      <c r="R188" s="334">
        <f t="shared" si="48"/>
        <v>0.11772996834625324</v>
      </c>
      <c r="T188" s="122"/>
      <c r="V188" s="144"/>
      <c r="W188" s="138"/>
      <c r="X188" s="138"/>
      <c r="Y188" s="138"/>
      <c r="Z188" s="142"/>
    </row>
    <row r="189" spans="2:50" ht="15" hidden="1" customHeight="1" outlineLevel="2" x14ac:dyDescent="0.25">
      <c r="B189" s="586"/>
      <c r="C189" s="32"/>
      <c r="D189" s="39" t="s">
        <v>783</v>
      </c>
      <c r="E189" s="39"/>
      <c r="F189" s="34" t="str">
        <f t="shared" si="52"/>
        <v>24.03.027</v>
      </c>
      <c r="G189" s="588" t="s">
        <v>917</v>
      </c>
      <c r="H189" s="82">
        <v>0</v>
      </c>
      <c r="I189" s="82">
        <f>'Prog 01'!J165</f>
        <v>0</v>
      </c>
      <c r="J189" s="82">
        <f ca="1">+'Prog 01'!K165</f>
        <v>0</v>
      </c>
      <c r="K189" s="334" t="str">
        <f t="shared" ca="1" si="53"/>
        <v>0.00%</v>
      </c>
      <c r="L189" s="35">
        <f>+'Prog 01'!M164</f>
        <v>0</v>
      </c>
      <c r="M189" s="334">
        <f t="shared" si="49"/>
        <v>0</v>
      </c>
      <c r="N189" s="35">
        <f>+'Prog 01'!O165</f>
        <v>0</v>
      </c>
      <c r="O189" s="334">
        <f t="shared" si="50"/>
        <v>0</v>
      </c>
      <c r="P189" s="35">
        <f>+'Prog 01'!Q165</f>
        <v>0</v>
      </c>
      <c r="Q189" s="35">
        <f ca="1">+'Prog 01'!R165</f>
        <v>0</v>
      </c>
      <c r="R189" s="334" t="str">
        <f t="shared" ca="1" si="48"/>
        <v>0.00%</v>
      </c>
      <c r="T189" s="122"/>
      <c r="V189" s="144"/>
      <c r="W189" s="138"/>
      <c r="X189" s="138"/>
      <c r="Y189" s="138"/>
      <c r="Z189" s="142"/>
    </row>
    <row r="190" spans="2:50" ht="15" hidden="1" customHeight="1" outlineLevel="2" x14ac:dyDescent="0.25">
      <c r="B190" s="586"/>
      <c r="C190" s="32"/>
      <c r="D190" s="39" t="s">
        <v>874</v>
      </c>
      <c r="E190" s="39"/>
      <c r="F190" s="34" t="str">
        <f t="shared" si="52"/>
        <v>24.03.030</v>
      </c>
      <c r="G190" s="588" t="str">
        <f>+'Prog 01'!H166</f>
        <v xml:space="preserve">SUBPESCA - Consulta indígena área marina Rapa Nui </v>
      </c>
      <c r="H190" s="82">
        <f>+'Prog 01'!I166</f>
        <v>0</v>
      </c>
      <c r="I190" s="82">
        <v>0</v>
      </c>
      <c r="J190" s="82">
        <f ca="1">+'Prog 01'!K166</f>
        <v>0</v>
      </c>
      <c r="K190" s="334" t="str">
        <f t="shared" ca="1" si="53"/>
        <v>0.00%</v>
      </c>
      <c r="L190" s="82">
        <f>+'Prog 01'!M165</f>
        <v>0</v>
      </c>
      <c r="M190" s="334">
        <f t="shared" si="49"/>
        <v>0</v>
      </c>
      <c r="N190" s="82">
        <f>+'Prog 01'!O166</f>
        <v>0</v>
      </c>
      <c r="O190" s="334">
        <f t="shared" si="50"/>
        <v>0</v>
      </c>
      <c r="P190" s="35">
        <f>+'Prog 01'!Q166</f>
        <v>0</v>
      </c>
      <c r="Q190" s="35">
        <f ca="1">+'Prog 01'!R166</f>
        <v>0</v>
      </c>
      <c r="R190" s="334" t="str">
        <f t="shared" ca="1" si="48"/>
        <v>0.00%</v>
      </c>
      <c r="T190" s="122"/>
      <c r="V190" s="144"/>
      <c r="W190" s="138"/>
      <c r="X190" s="138"/>
      <c r="Y190" s="138"/>
      <c r="Z190" s="142"/>
    </row>
    <row r="191" spans="2:50" ht="15" hidden="1" customHeight="1" outlineLevel="2" x14ac:dyDescent="0.25">
      <c r="B191" s="586"/>
      <c r="C191" s="32"/>
      <c r="D191" s="42" t="s">
        <v>298</v>
      </c>
      <c r="E191" s="39"/>
      <c r="F191" s="34" t="str">
        <f t="shared" si="52"/>
        <v>24.03.033</v>
      </c>
      <c r="G191" s="588" t="s">
        <v>299</v>
      </c>
      <c r="H191" s="82">
        <f>+'Prog 02'!H27</f>
        <v>0</v>
      </c>
      <c r="I191" s="82">
        <f>+'Prog 02'!I27</f>
        <v>0</v>
      </c>
      <c r="J191" s="82">
        <f ca="1">+'Prog 02'!J27</f>
        <v>0</v>
      </c>
      <c r="K191" s="334" t="str">
        <f t="shared" ca="1" si="53"/>
        <v>0.00%</v>
      </c>
      <c r="L191" s="35">
        <f>+'Prog 02'!L27</f>
        <v>0</v>
      </c>
      <c r="M191" s="334">
        <f t="shared" si="49"/>
        <v>0</v>
      </c>
      <c r="N191" s="35">
        <f>+'Prog 02'!N27</f>
        <v>0</v>
      </c>
      <c r="O191" s="334">
        <f t="shared" si="50"/>
        <v>0</v>
      </c>
      <c r="P191" s="35">
        <f>+'Prog 02'!P27</f>
        <v>2749951.5780000002</v>
      </c>
      <c r="Q191" s="35">
        <f>+'Prog 02'!Q27</f>
        <v>20350.635119999999</v>
      </c>
      <c r="R191" s="334">
        <f t="shared" si="48"/>
        <v>7.4003612582883077E-3</v>
      </c>
      <c r="T191" s="122"/>
      <c r="V191" s="144"/>
      <c r="W191" s="138"/>
      <c r="X191" s="138"/>
      <c r="Y191" s="138"/>
      <c r="Z191" s="142"/>
    </row>
    <row r="192" spans="2:50" ht="15" hidden="1" customHeight="1" outlineLevel="2" x14ac:dyDescent="0.25">
      <c r="B192" s="586"/>
      <c r="C192" s="32"/>
      <c r="D192" s="42" t="s">
        <v>501</v>
      </c>
      <c r="E192" s="39"/>
      <c r="F192" s="34" t="s">
        <v>500</v>
      </c>
      <c r="G192" s="588" t="s">
        <v>260</v>
      </c>
      <c r="H192" s="35">
        <f>+'Prog 02'!H33</f>
        <v>0</v>
      </c>
      <c r="I192" s="35">
        <f>+'Prog 02'!I33</f>
        <v>0</v>
      </c>
      <c r="J192" s="35">
        <f ca="1">+'Prog 02'!J33</f>
        <v>0</v>
      </c>
      <c r="K192" s="334" t="str">
        <f t="shared" ca="1" si="53"/>
        <v>0.00%</v>
      </c>
      <c r="L192" s="35">
        <f>+'Prog 02'!L33</f>
        <v>0</v>
      </c>
      <c r="M192" s="334">
        <f t="shared" si="49"/>
        <v>0</v>
      </c>
      <c r="N192" s="35">
        <f>+'Prog 02'!N34</f>
        <v>0</v>
      </c>
      <c r="O192" s="334">
        <f t="shared" si="50"/>
        <v>0</v>
      </c>
      <c r="P192" s="35">
        <f>+'Prog 02'!P33</f>
        <v>44217.270000000004</v>
      </c>
      <c r="Q192" s="35">
        <f>+'Prog 02'!Q33</f>
        <v>0</v>
      </c>
      <c r="R192" s="334">
        <f t="shared" si="48"/>
        <v>0</v>
      </c>
      <c r="T192" s="122"/>
      <c r="V192" s="144"/>
      <c r="W192" s="138"/>
      <c r="X192" s="138"/>
      <c r="Y192" s="138"/>
      <c r="Z192" s="142"/>
    </row>
    <row r="193" spans="2:26" ht="15" hidden="1" customHeight="1" outlineLevel="2" x14ac:dyDescent="0.25">
      <c r="B193" s="586"/>
      <c r="C193" s="32"/>
      <c r="D193" s="42" t="s">
        <v>918</v>
      </c>
      <c r="E193" s="39"/>
      <c r="F193" s="34" t="s">
        <v>920</v>
      </c>
      <c r="G193" s="588" t="str">
        <f>+'Prog 01'!H167</f>
        <v>UFRO - Red de expertos macro zona sur</v>
      </c>
      <c r="H193" s="35">
        <f>+'Prog 01'!I167</f>
        <v>0</v>
      </c>
      <c r="I193" s="35">
        <f>'Prog 01'!J167</f>
        <v>0</v>
      </c>
      <c r="J193" s="35">
        <f ca="1">+'Prog 01'!K167</f>
        <v>0</v>
      </c>
      <c r="K193" s="334" t="str">
        <f t="shared" ca="1" si="53"/>
        <v>0.00%</v>
      </c>
      <c r="L193" s="35">
        <f>'Prog 01'!M167</f>
        <v>0</v>
      </c>
      <c r="M193" s="334">
        <f t="shared" si="49"/>
        <v>0</v>
      </c>
      <c r="N193" s="35">
        <f>+'Prog 01'!O167</f>
        <v>0</v>
      </c>
      <c r="O193" s="334">
        <f t="shared" si="50"/>
        <v>0</v>
      </c>
      <c r="P193" s="35"/>
      <c r="Q193" s="35"/>
      <c r="R193" s="334" t="str">
        <f t="shared" si="48"/>
        <v>0.00%</v>
      </c>
      <c r="T193" s="122"/>
      <c r="V193" s="144"/>
      <c r="W193" s="138"/>
      <c r="X193" s="138"/>
      <c r="Y193" s="138"/>
      <c r="Z193" s="142"/>
    </row>
    <row r="194" spans="2:26" ht="15" hidden="1" customHeight="1" outlineLevel="2" x14ac:dyDescent="0.25">
      <c r="B194" s="586"/>
      <c r="C194" s="32"/>
      <c r="D194" s="42" t="s">
        <v>190</v>
      </c>
      <c r="E194" s="39"/>
      <c r="F194" s="34" t="s">
        <v>749</v>
      </c>
      <c r="G194" s="588" t="str">
        <f>+'Prog 01'!H168</f>
        <v xml:space="preserve">Fortalecimiento de Capacidades de Intervención en </v>
      </c>
      <c r="H194" s="35">
        <v>0</v>
      </c>
      <c r="I194" s="35">
        <v>0</v>
      </c>
      <c r="J194" s="35">
        <v>0</v>
      </c>
      <c r="K194" s="334" t="str">
        <f t="shared" si="53"/>
        <v>0.00%</v>
      </c>
      <c r="L194" s="35">
        <v>0</v>
      </c>
      <c r="M194" s="334">
        <f t="shared" si="49"/>
        <v>0</v>
      </c>
      <c r="N194" s="35">
        <v>0</v>
      </c>
      <c r="O194" s="334">
        <f t="shared" si="50"/>
        <v>0</v>
      </c>
      <c r="P194" s="35">
        <f>+'Prog 01'!Q168</f>
        <v>0</v>
      </c>
      <c r="Q194" s="35">
        <f ca="1">+'Prog 01'!R168</f>
        <v>0</v>
      </c>
      <c r="R194" s="334" t="str">
        <f t="shared" ca="1" si="48"/>
        <v>0.00%</v>
      </c>
      <c r="T194" s="122"/>
      <c r="V194" s="144"/>
      <c r="W194" s="138"/>
      <c r="X194" s="138"/>
      <c r="Y194" s="138"/>
      <c r="Z194" s="142"/>
    </row>
    <row r="195" spans="2:26" ht="15" hidden="1" customHeight="1" outlineLevel="2" x14ac:dyDescent="0.25">
      <c r="B195" s="586"/>
      <c r="C195" s="32"/>
      <c r="D195" s="39" t="s">
        <v>223</v>
      </c>
      <c r="E195" s="39"/>
      <c r="F195" s="34" t="str">
        <f t="shared" ref="F195:F202" si="54">+CONCATENATE($B$153,"",$C$185,"",D195,"",E195)</f>
        <v>24.03.403</v>
      </c>
      <c r="G195" s="588" t="s">
        <v>304</v>
      </c>
      <c r="H195" s="35">
        <f>+'Prog 03'!H15</f>
        <v>76763405</v>
      </c>
      <c r="I195" s="35">
        <f>+'Prog 03'!I15</f>
        <v>76763405</v>
      </c>
      <c r="J195" s="35">
        <f ca="1">+'Prog 03'!J15</f>
        <v>0</v>
      </c>
      <c r="K195" s="334">
        <f t="shared" ca="1" si="53"/>
        <v>0</v>
      </c>
      <c r="L195" s="35">
        <f>+'Prog 03'!L15</f>
        <v>0</v>
      </c>
      <c r="M195" s="334">
        <f t="shared" si="49"/>
        <v>0</v>
      </c>
      <c r="N195" s="35">
        <f>+'Prog 03'!N15</f>
        <v>76763405</v>
      </c>
      <c r="O195" s="334">
        <f t="shared" si="50"/>
        <v>1</v>
      </c>
      <c r="P195" s="35">
        <f>+'Prog 03'!P15</f>
        <v>78731697.541999996</v>
      </c>
      <c r="Q195" s="35">
        <f>+'Prog 03'!Q15</f>
        <v>9490298.1364079993</v>
      </c>
      <c r="R195" s="334">
        <f t="shared" si="48"/>
        <v>0.12053973726840236</v>
      </c>
      <c r="T195" s="122"/>
      <c r="V195" s="144"/>
      <c r="W195" s="138"/>
      <c r="X195" s="138"/>
      <c r="Y195" s="138"/>
      <c r="Z195" s="142"/>
    </row>
    <row r="196" spans="2:26" ht="15" hidden="1" customHeight="1" outlineLevel="2" x14ac:dyDescent="0.25">
      <c r="B196" s="586" t="s">
        <v>2</v>
      </c>
      <c r="C196" s="32"/>
      <c r="D196" s="42" t="s">
        <v>252</v>
      </c>
      <c r="E196" s="39"/>
      <c r="F196" s="34" t="str">
        <f t="shared" si="54"/>
        <v>24.03.406</v>
      </c>
      <c r="G196" s="588" t="s">
        <v>251</v>
      </c>
      <c r="H196" s="35">
        <f>+'Prog 03'!H16</f>
        <v>3804713</v>
      </c>
      <c r="I196" s="35">
        <f>+'Prog 03'!I16</f>
        <v>3804713</v>
      </c>
      <c r="J196" s="35">
        <f ca="1">+'Prog 03'!J16</f>
        <v>38679.495000000003</v>
      </c>
      <c r="K196" s="334">
        <f t="shared" ca="1" si="53"/>
        <v>1.0166205703294835E-2</v>
      </c>
      <c r="L196" s="35">
        <f>+'Prog 03'!L16</f>
        <v>224795.04300000001</v>
      </c>
      <c r="M196" s="334">
        <f t="shared" si="49"/>
        <v>5.9083311408771176E-2</v>
      </c>
      <c r="N196" s="35">
        <f>+'Prog 03'!N16</f>
        <v>3579917.9569999999</v>
      </c>
      <c r="O196" s="334">
        <f t="shared" si="50"/>
        <v>0.94091668859122879</v>
      </c>
      <c r="P196" s="35">
        <f>+'Prog 03'!P16</f>
        <v>3953267.7659999998</v>
      </c>
      <c r="Q196" s="35">
        <f>+'Prog 03'!Q16</f>
        <v>145580.56567000001</v>
      </c>
      <c r="R196" s="334">
        <f t="shared" si="48"/>
        <v>3.6825374421146667E-2</v>
      </c>
      <c r="T196" s="122"/>
      <c r="V196" s="144"/>
      <c r="W196" s="138"/>
      <c r="X196" s="138"/>
      <c r="Y196" s="138"/>
      <c r="Z196" s="142"/>
    </row>
    <row r="197" spans="2:26" s="1" customFormat="1" ht="15" hidden="1" customHeight="1" outlineLevel="2" x14ac:dyDescent="0.25">
      <c r="B197" s="759"/>
      <c r="C197" s="88"/>
      <c r="D197" s="1072" t="s">
        <v>901</v>
      </c>
      <c r="E197" s="1073"/>
      <c r="F197" s="768" t="str">
        <f t="shared" si="54"/>
        <v>24.03.407</v>
      </c>
      <c r="G197" s="695" t="str">
        <f>+'Prog 03'!G23</f>
        <v>Servicios de Asistencia Técnica Especializada SATE</v>
      </c>
      <c r="H197" s="29">
        <f>+'Prog 03'!H23</f>
        <v>0</v>
      </c>
      <c r="I197" s="29">
        <f>+'Prog 03'!I23</f>
        <v>0</v>
      </c>
      <c r="J197" s="29">
        <f ca="1">+'Prog 03'!J23</f>
        <v>0</v>
      </c>
      <c r="K197" s="781" t="str">
        <f t="shared" ca="1" si="53"/>
        <v>0.00%</v>
      </c>
      <c r="L197" s="29">
        <f>+'Prog 03'!L23</f>
        <v>0</v>
      </c>
      <c r="M197" s="781">
        <f t="shared" si="49"/>
        <v>0</v>
      </c>
      <c r="N197" s="29">
        <f>+'Prog 03'!N23</f>
        <v>0</v>
      </c>
      <c r="O197" s="781">
        <f t="shared" si="50"/>
        <v>0</v>
      </c>
      <c r="P197" s="29">
        <f>+'Prog 03'!P23</f>
        <v>483694.31599999999</v>
      </c>
      <c r="Q197" s="29">
        <f>+'Prog 03'!Q23</f>
        <v>0</v>
      </c>
      <c r="R197" s="781">
        <f t="shared" si="48"/>
        <v>0</v>
      </c>
      <c r="S197" s="3"/>
      <c r="T197" s="786"/>
      <c r="U197" s="76"/>
      <c r="V197" s="788"/>
      <c r="W197" s="789"/>
      <c r="X197" s="789"/>
      <c r="Y197" s="789"/>
      <c r="Z197" s="790"/>
    </row>
    <row r="198" spans="2:26" ht="15" hidden="1" customHeight="1" outlineLevel="2" x14ac:dyDescent="0.25">
      <c r="B198" s="586" t="s">
        <v>2</v>
      </c>
      <c r="C198" s="32"/>
      <c r="D198" s="42" t="s">
        <v>254</v>
      </c>
      <c r="E198" s="39"/>
      <c r="F198" s="34" t="str">
        <f t="shared" si="54"/>
        <v>24.03.409</v>
      </c>
      <c r="G198" s="588" t="s">
        <v>258</v>
      </c>
      <c r="H198" s="35">
        <f>+'Prog 01'!I169</f>
        <v>0</v>
      </c>
      <c r="I198" s="35">
        <f>+VLOOKUP(F198,matriz01,4,FALSE)</f>
        <v>0</v>
      </c>
      <c r="J198" s="35">
        <f ca="1">+'Prog 01'!K169</f>
        <v>0</v>
      </c>
      <c r="K198" s="334" t="str">
        <f t="shared" ca="1" si="53"/>
        <v>0.00%</v>
      </c>
      <c r="L198" s="35">
        <f>'Prog 01'!M169</f>
        <v>0</v>
      </c>
      <c r="M198" s="334">
        <f t="shared" si="49"/>
        <v>0</v>
      </c>
      <c r="N198" s="35">
        <f>INDEX(coincidenciaP01,MATCH(F198,indicep01,0),9)</f>
        <v>0</v>
      </c>
      <c r="O198" s="334">
        <f t="shared" si="50"/>
        <v>0</v>
      </c>
      <c r="P198" s="35">
        <f>+'Prog 01'!Q169</f>
        <v>117484.458</v>
      </c>
      <c r="Q198" s="35">
        <f ca="1">+'Prog 01'!R169</f>
        <v>9353.7339040000006</v>
      </c>
      <c r="R198" s="334">
        <f t="shared" ca="1" si="48"/>
        <v>7.9616777088932056E-2</v>
      </c>
      <c r="T198" s="122"/>
      <c r="V198" s="144"/>
      <c r="W198" s="138"/>
      <c r="X198" s="138"/>
      <c r="Y198" s="138"/>
      <c r="Z198" s="142"/>
    </row>
    <row r="199" spans="2:26" ht="15" hidden="1" customHeight="1" outlineLevel="2" x14ac:dyDescent="0.25">
      <c r="B199" s="586"/>
      <c r="C199" s="163"/>
      <c r="D199" s="42" t="s">
        <v>779</v>
      </c>
      <c r="E199" s="39"/>
      <c r="F199" s="34" t="str">
        <f t="shared" si="54"/>
        <v>24.03.410</v>
      </c>
      <c r="G199" s="588" t="s">
        <v>780</v>
      </c>
      <c r="H199" s="35">
        <v>0</v>
      </c>
      <c r="I199" s="35">
        <v>0</v>
      </c>
      <c r="J199" s="35">
        <v>0</v>
      </c>
      <c r="K199" s="334" t="str">
        <f t="shared" si="53"/>
        <v>0.00%</v>
      </c>
      <c r="L199" s="35">
        <v>0</v>
      </c>
      <c r="M199" s="334">
        <f t="shared" si="49"/>
        <v>0</v>
      </c>
      <c r="N199" s="35"/>
      <c r="O199" s="334">
        <f t="shared" si="50"/>
        <v>0</v>
      </c>
      <c r="P199" s="35">
        <f>+'Prog 01'!Q170</f>
        <v>0</v>
      </c>
      <c r="Q199" s="35">
        <f ca="1">+'Prog 01'!R170</f>
        <v>0</v>
      </c>
      <c r="R199" s="334" t="str">
        <f t="shared" ca="1" si="48"/>
        <v>0.00%</v>
      </c>
      <c r="T199" s="122"/>
      <c r="V199" s="144"/>
      <c r="W199" s="138"/>
      <c r="X199" s="138"/>
      <c r="Y199" s="138"/>
      <c r="Z199" s="142"/>
    </row>
    <row r="200" spans="2:26" ht="15" hidden="1" customHeight="1" outlineLevel="2" x14ac:dyDescent="0.25">
      <c r="B200" s="586" t="s">
        <v>2</v>
      </c>
      <c r="C200" s="32"/>
      <c r="D200" s="42" t="s">
        <v>255</v>
      </c>
      <c r="E200" s="39"/>
      <c r="F200" s="34" t="str">
        <f t="shared" si="54"/>
        <v>24.03.415</v>
      </c>
      <c r="G200" s="588" t="s">
        <v>259</v>
      </c>
      <c r="H200" s="35">
        <f>+'Prog 01'!I171</f>
        <v>0</v>
      </c>
      <c r="I200" s="35">
        <f>+VLOOKUP(F200,matriz01,4,FALSE)</f>
        <v>0</v>
      </c>
      <c r="J200" s="35">
        <f ca="1">+'Prog 01'!K171</f>
        <v>0</v>
      </c>
      <c r="K200" s="334" t="str">
        <f t="shared" ca="1" si="53"/>
        <v>0.00%</v>
      </c>
      <c r="L200" s="35">
        <f>INDEX(coincidenciaP01,MATCH(F200,indicep01,0),7)</f>
        <v>0</v>
      </c>
      <c r="M200" s="334">
        <f t="shared" si="49"/>
        <v>0</v>
      </c>
      <c r="N200" s="35">
        <f>INDEX(coincidenciaP01,MATCH(F200,indicep01,0),9)</f>
        <v>0</v>
      </c>
      <c r="O200" s="334">
        <f t="shared" si="50"/>
        <v>0</v>
      </c>
      <c r="P200" s="35">
        <f>+'Prog 01'!Q171</f>
        <v>0</v>
      </c>
      <c r="Q200" s="35">
        <f ca="1">+'Prog 01'!R171</f>
        <v>0</v>
      </c>
      <c r="R200" s="334" t="str">
        <f t="shared" ca="1" si="48"/>
        <v>0.00%</v>
      </c>
      <c r="T200" s="122"/>
      <c r="V200" s="144"/>
      <c r="W200" s="138"/>
      <c r="X200" s="138"/>
      <c r="Y200" s="138"/>
      <c r="Z200" s="142"/>
    </row>
    <row r="201" spans="2:26" ht="15" hidden="1" customHeight="1" outlineLevel="2" x14ac:dyDescent="0.25">
      <c r="B201" s="586" t="s">
        <v>2</v>
      </c>
      <c r="C201" s="32"/>
      <c r="D201" s="42" t="s">
        <v>265</v>
      </c>
      <c r="E201" s="39"/>
      <c r="F201" s="34" t="str">
        <f t="shared" si="54"/>
        <v>24.03.500</v>
      </c>
      <c r="G201" s="588" t="s">
        <v>261</v>
      </c>
      <c r="H201" s="35">
        <f>+'Prog 02'!H36</f>
        <v>0</v>
      </c>
      <c r="I201" s="35">
        <f>+'Prog 02'!I36</f>
        <v>0</v>
      </c>
      <c r="J201" s="35">
        <f ca="1">+'Prog 02'!J36</f>
        <v>0</v>
      </c>
      <c r="K201" s="334" t="str">
        <f t="shared" ca="1" si="53"/>
        <v>0.00%</v>
      </c>
      <c r="L201" s="35">
        <f>+'Prog 02'!L35</f>
        <v>0</v>
      </c>
      <c r="M201" s="334">
        <f t="shared" si="49"/>
        <v>0</v>
      </c>
      <c r="N201" s="35">
        <f>+'Prog 02'!N36</f>
        <v>0</v>
      </c>
      <c r="O201" s="334">
        <f t="shared" si="50"/>
        <v>0</v>
      </c>
      <c r="P201" s="35">
        <f>+'Prog 02'!P35</f>
        <v>0</v>
      </c>
      <c r="Q201" s="35">
        <f>+'Prog 02'!Q36</f>
        <v>0</v>
      </c>
      <c r="R201" s="334" t="str">
        <f t="shared" si="48"/>
        <v>0.00%</v>
      </c>
      <c r="T201" s="122"/>
      <c r="V201" s="144"/>
      <c r="W201" s="138"/>
      <c r="X201" s="138"/>
      <c r="Y201" s="138"/>
      <c r="Z201" s="142"/>
    </row>
    <row r="202" spans="2:26" ht="15" hidden="1" customHeight="1" outlineLevel="2" x14ac:dyDescent="0.25">
      <c r="B202" s="586" t="s">
        <v>2</v>
      </c>
      <c r="C202" s="32"/>
      <c r="D202" s="42" t="s">
        <v>316</v>
      </c>
      <c r="E202" s="39"/>
      <c r="F202" s="34" t="str">
        <f t="shared" si="54"/>
        <v>24.03.602</v>
      </c>
      <c r="G202" s="588" t="s">
        <v>296</v>
      </c>
      <c r="H202" s="35">
        <f>+'Prog 02'!H37</f>
        <v>740899</v>
      </c>
      <c r="I202" s="35">
        <f>+'Prog 02'!I37</f>
        <v>740899</v>
      </c>
      <c r="J202" s="35">
        <f ca="1">+'Prog 02'!J37</f>
        <v>89818.843999999997</v>
      </c>
      <c r="K202" s="334">
        <f t="shared" ca="1" si="53"/>
        <v>0.12122953870905481</v>
      </c>
      <c r="L202" s="35">
        <f>+'Prog 02'!L37</f>
        <v>92158.843999999997</v>
      </c>
      <c r="M202" s="334">
        <f t="shared" si="49"/>
        <v>0.12438786393287074</v>
      </c>
      <c r="N202" s="35">
        <f>+'Prog 02'!N37</f>
        <v>648740.15599999996</v>
      </c>
      <c r="O202" s="334">
        <f t="shared" si="50"/>
        <v>0.87561213606712918</v>
      </c>
      <c r="P202" s="35">
        <f>+'Prog 02'!P37</f>
        <v>1823319.7340000002</v>
      </c>
      <c r="Q202" s="35">
        <f>+'Prog 02'!Q37</f>
        <v>68542.759999999995</v>
      </c>
      <c r="R202" s="334">
        <f t="shared" si="48"/>
        <v>3.759228769472639E-2</v>
      </c>
      <c r="T202" s="122"/>
      <c r="V202" s="144"/>
      <c r="W202" s="138"/>
      <c r="X202" s="138"/>
      <c r="Y202" s="138"/>
      <c r="Z202" s="142"/>
    </row>
    <row r="203" spans="2:26" s="58" customFormat="1" ht="15" hidden="1" customHeight="1" outlineLevel="1" collapsed="1" x14ac:dyDescent="0.25">
      <c r="B203" s="586" t="s">
        <v>2</v>
      </c>
      <c r="C203" s="38" t="s">
        <v>181</v>
      </c>
      <c r="D203" s="33"/>
      <c r="E203" s="41"/>
      <c r="F203" s="41"/>
      <c r="G203" s="587" t="s">
        <v>287</v>
      </c>
      <c r="H203" s="186">
        <f>SUM(H204:H210)</f>
        <v>0</v>
      </c>
      <c r="I203" s="186">
        <f t="shared" ref="I203" si="55">SUM(I204:I210)</f>
        <v>0</v>
      </c>
      <c r="J203" s="186">
        <f ca="1">SUM(J204:J210)</f>
        <v>0</v>
      </c>
      <c r="K203" s="334" t="str">
        <f t="shared" ca="1" si="53"/>
        <v>0.00%</v>
      </c>
      <c r="L203" s="186">
        <f>SUM(L204:L210)</f>
        <v>0</v>
      </c>
      <c r="M203" s="334">
        <f t="shared" si="49"/>
        <v>0</v>
      </c>
      <c r="N203" s="186">
        <f>SUM(N204:N210)</f>
        <v>0</v>
      </c>
      <c r="O203" s="334">
        <f t="shared" si="50"/>
        <v>0</v>
      </c>
      <c r="P203" s="35">
        <f>+SUM(P204:P210)</f>
        <v>0</v>
      </c>
      <c r="Q203" s="35">
        <f ca="1">+SUM(Q204:Q210)</f>
        <v>0</v>
      </c>
      <c r="R203" s="334" t="str">
        <f t="shared" ca="1" si="48"/>
        <v>0.00%</v>
      </c>
      <c r="S203" s="613"/>
      <c r="T203" s="614"/>
      <c r="U203" s="139"/>
      <c r="V203" s="615"/>
      <c r="W203" s="180"/>
      <c r="X203" s="180"/>
      <c r="Y203" s="180"/>
      <c r="Z203" s="181"/>
    </row>
    <row r="204" spans="2:26" s="58" customFormat="1" ht="15" hidden="1" customHeight="1" outlineLevel="1" x14ac:dyDescent="0.25">
      <c r="B204" s="586"/>
      <c r="C204" s="38"/>
      <c r="D204" s="33"/>
      <c r="E204" s="41"/>
      <c r="F204" s="34" t="s">
        <v>241</v>
      </c>
      <c r="G204" s="590" t="s">
        <v>679</v>
      </c>
      <c r="H204" s="35">
        <v>0</v>
      </c>
      <c r="I204" s="35">
        <f>'Prog 01'!J173</f>
        <v>0</v>
      </c>
      <c r="J204" s="35">
        <f ca="1">+'Prog 01'!K173</f>
        <v>0</v>
      </c>
      <c r="K204" s="334" t="str">
        <f t="shared" ca="1" si="53"/>
        <v>0.00%</v>
      </c>
      <c r="L204" s="35">
        <f>'Prog 01'!M173</f>
        <v>0</v>
      </c>
      <c r="M204" s="334">
        <f t="shared" si="49"/>
        <v>0</v>
      </c>
      <c r="N204" s="35">
        <f>+'Prog 01'!O173</f>
        <v>0</v>
      </c>
      <c r="O204" s="334">
        <f t="shared" si="50"/>
        <v>0</v>
      </c>
      <c r="P204" s="35">
        <f>+'Prog 01'!Q173</f>
        <v>0</v>
      </c>
      <c r="Q204" s="35">
        <f ca="1">+'Prog 01'!R173</f>
        <v>0</v>
      </c>
      <c r="R204" s="334" t="str">
        <f t="shared" ca="1" si="48"/>
        <v>0.00%</v>
      </c>
      <c r="S204" s="26"/>
      <c r="T204" s="122"/>
      <c r="U204" s="139"/>
      <c r="V204" s="144"/>
      <c r="W204" s="138"/>
      <c r="X204" s="138"/>
      <c r="Y204" s="138"/>
      <c r="Z204" s="142"/>
    </row>
    <row r="205" spans="2:26" s="58" customFormat="1" ht="15" hidden="1" customHeight="1" outlineLevel="1" x14ac:dyDescent="0.25">
      <c r="B205" s="586"/>
      <c r="C205" s="38"/>
      <c r="D205" s="33"/>
      <c r="E205" s="41"/>
      <c r="F205" s="34" t="s">
        <v>317</v>
      </c>
      <c r="G205" s="590" t="s">
        <v>318</v>
      </c>
      <c r="H205" s="35">
        <v>0</v>
      </c>
      <c r="I205" s="35">
        <f>'Prog 01'!J174</f>
        <v>0</v>
      </c>
      <c r="J205" s="35">
        <f ca="1">+'Prog 01'!K174</f>
        <v>0</v>
      </c>
      <c r="K205" s="334" t="str">
        <f t="shared" ca="1" si="53"/>
        <v>0.00%</v>
      </c>
      <c r="L205" s="35">
        <f>'Prog 01'!M174</f>
        <v>0</v>
      </c>
      <c r="M205" s="334">
        <f t="shared" si="49"/>
        <v>0</v>
      </c>
      <c r="N205" s="35">
        <f>+'Prog 01'!O174</f>
        <v>0</v>
      </c>
      <c r="O205" s="334">
        <f t="shared" si="50"/>
        <v>0</v>
      </c>
      <c r="P205" s="35">
        <f>+'Prog 01'!Q174</f>
        <v>0</v>
      </c>
      <c r="Q205" s="35">
        <f ca="1">+'Prog 01'!R174</f>
        <v>0</v>
      </c>
      <c r="R205" s="334" t="str">
        <f t="shared" ref="R205:R272" ca="1" si="56">IFERROR(Q205/P205,"0.00%")</f>
        <v>0.00%</v>
      </c>
      <c r="S205" s="26"/>
      <c r="T205" s="122"/>
      <c r="U205" s="139"/>
      <c r="V205" s="144"/>
      <c r="W205" s="138"/>
      <c r="X205" s="138"/>
      <c r="Y205" s="138"/>
      <c r="Z205" s="142"/>
    </row>
    <row r="206" spans="2:26" s="58" customFormat="1" ht="15" hidden="1" customHeight="1" outlineLevel="1" x14ac:dyDescent="0.25">
      <c r="B206" s="586"/>
      <c r="C206" s="38"/>
      <c r="D206" s="33"/>
      <c r="E206" s="41"/>
      <c r="F206" s="34" t="s">
        <v>678</v>
      </c>
      <c r="G206" s="590" t="s">
        <v>478</v>
      </c>
      <c r="H206" s="35">
        <v>0</v>
      </c>
      <c r="I206" s="35">
        <f>'Prog 01'!J175</f>
        <v>0</v>
      </c>
      <c r="J206" s="35">
        <v>0</v>
      </c>
      <c r="K206" s="334" t="str">
        <f t="shared" si="53"/>
        <v>0.00%</v>
      </c>
      <c r="L206" s="35">
        <f>'Prog 01'!M175</f>
        <v>0</v>
      </c>
      <c r="M206" s="334">
        <f t="shared" si="49"/>
        <v>0</v>
      </c>
      <c r="N206" s="35">
        <f>INDEX(coincidenciaP01,MATCH(F206,indicep01,0),9)</f>
        <v>0</v>
      </c>
      <c r="O206" s="334">
        <f t="shared" si="50"/>
        <v>0</v>
      </c>
      <c r="P206" s="35">
        <f>+'Prog 01'!Q175</f>
        <v>0</v>
      </c>
      <c r="Q206" s="35">
        <f ca="1">+'Prog 01'!R175</f>
        <v>0</v>
      </c>
      <c r="R206" s="334" t="str">
        <f t="shared" ca="1" si="56"/>
        <v>0.00%</v>
      </c>
      <c r="S206" s="26"/>
      <c r="T206" s="122"/>
      <c r="U206" s="139"/>
      <c r="V206" s="144"/>
      <c r="W206" s="138"/>
      <c r="X206" s="138"/>
      <c r="Y206" s="138"/>
      <c r="Z206" s="142"/>
    </row>
    <row r="207" spans="2:26" s="58" customFormat="1" ht="15" hidden="1" customHeight="1" outlineLevel="1" x14ac:dyDescent="0.25">
      <c r="B207" s="586"/>
      <c r="C207" s="38"/>
      <c r="D207" s="33"/>
      <c r="E207" s="41"/>
      <c r="F207" s="34" t="s">
        <v>682</v>
      </c>
      <c r="G207" s="590" t="s">
        <v>683</v>
      </c>
      <c r="H207" s="35">
        <v>0</v>
      </c>
      <c r="I207" s="35">
        <f>'Prog 01'!J176</f>
        <v>0</v>
      </c>
      <c r="J207" s="35">
        <f ca="1">+'Prog 01'!K176</f>
        <v>0</v>
      </c>
      <c r="K207" s="334" t="str">
        <f t="shared" ca="1" si="53"/>
        <v>0.00%</v>
      </c>
      <c r="L207" s="35">
        <f>'Prog 01'!M176</f>
        <v>0</v>
      </c>
      <c r="M207" s="334">
        <f t="shared" ref="M207:M274" si="57">+IFERROR(L207/I207,0)</f>
        <v>0</v>
      </c>
      <c r="N207" s="35">
        <f>+'Prog 01'!O176</f>
        <v>0</v>
      </c>
      <c r="O207" s="334">
        <f t="shared" ref="O207:O274" si="58">+IFERROR(N207/I207,0)</f>
        <v>0</v>
      </c>
      <c r="P207" s="35">
        <f>+'Prog 01'!Q176</f>
        <v>0</v>
      </c>
      <c r="Q207" s="35">
        <f ca="1">+'Prog 01'!R176</f>
        <v>0</v>
      </c>
      <c r="R207" s="334" t="str">
        <f t="shared" ca="1" si="56"/>
        <v>0.00%</v>
      </c>
      <c r="S207" s="26"/>
      <c r="T207" s="122"/>
      <c r="U207" s="139"/>
      <c r="V207" s="144"/>
      <c r="W207" s="138"/>
      <c r="X207" s="138"/>
      <c r="Y207" s="138"/>
      <c r="Z207" s="142"/>
    </row>
    <row r="208" spans="2:26" s="58" customFormat="1" ht="15" hidden="1" customHeight="1" outlineLevel="1" x14ac:dyDescent="0.25">
      <c r="B208" s="586"/>
      <c r="C208" s="38"/>
      <c r="D208" s="33"/>
      <c r="E208" s="41"/>
      <c r="F208" s="34" t="str">
        <f>+'Prog 01'!G177</f>
        <v xml:space="preserve">24.07.008 </v>
      </c>
      <c r="G208" s="590" t="str">
        <f>+'Prog 01'!H177</f>
        <v>A Facultad Latinoamericana de Ciencias Sociales</v>
      </c>
      <c r="H208" s="35">
        <v>0</v>
      </c>
      <c r="I208" s="35">
        <f>'Prog 01'!J177</f>
        <v>0</v>
      </c>
      <c r="J208" s="35">
        <f ca="1">+'Prog 01'!K177</f>
        <v>0</v>
      </c>
      <c r="K208" s="334" t="str">
        <f t="shared" ca="1" si="53"/>
        <v>0.00%</v>
      </c>
      <c r="L208" s="35">
        <f>'Prog 01'!M177</f>
        <v>0</v>
      </c>
      <c r="M208" s="334">
        <f t="shared" si="57"/>
        <v>0</v>
      </c>
      <c r="N208" s="35">
        <f>+'Prog 01'!O177</f>
        <v>0</v>
      </c>
      <c r="O208" s="334">
        <f t="shared" si="58"/>
        <v>0</v>
      </c>
      <c r="P208" s="35">
        <f>+'Prog 01'!Q177</f>
        <v>0</v>
      </c>
      <c r="Q208" s="35">
        <f ca="1">+'Prog 01'!R177</f>
        <v>0</v>
      </c>
      <c r="R208" s="334" t="str">
        <f t="shared" ca="1" si="56"/>
        <v>0.00%</v>
      </c>
      <c r="S208" s="26"/>
      <c r="T208" s="122"/>
      <c r="U208" s="139"/>
      <c r="V208" s="144"/>
      <c r="W208" s="138"/>
      <c r="X208" s="138"/>
      <c r="Y208" s="138"/>
      <c r="Z208" s="142"/>
    </row>
    <row r="209" spans="1:26" s="58" customFormat="1" ht="15" hidden="1" customHeight="1" outlineLevel="1" x14ac:dyDescent="0.25">
      <c r="B209" s="586"/>
      <c r="C209" s="38"/>
      <c r="D209" s="33"/>
      <c r="E209" s="41"/>
      <c r="F209" s="34" t="s">
        <v>921</v>
      </c>
      <c r="G209" s="590" t="str">
        <f>+'Prog 01'!H178</f>
        <v>Diálogos participativos regionales para ela</v>
      </c>
      <c r="H209" s="35">
        <f>+'Prog 01'!I178</f>
        <v>0</v>
      </c>
      <c r="I209" s="35">
        <f>'Prog 01'!J178</f>
        <v>0</v>
      </c>
      <c r="J209" s="35">
        <f ca="1">+'Prog 01'!K178</f>
        <v>0</v>
      </c>
      <c r="K209" s="334" t="str">
        <f t="shared" ca="1" si="53"/>
        <v>0.00%</v>
      </c>
      <c r="L209" s="35">
        <f>'Prog 01'!M178</f>
        <v>0</v>
      </c>
      <c r="M209" s="334">
        <f t="shared" si="57"/>
        <v>0</v>
      </c>
      <c r="N209" s="35">
        <f>+'Prog 01'!O178</f>
        <v>0</v>
      </c>
      <c r="O209" s="334">
        <f t="shared" si="58"/>
        <v>0</v>
      </c>
      <c r="P209" s="35">
        <f>+'Prog 01'!Q178</f>
        <v>0</v>
      </c>
      <c r="Q209" s="35">
        <f ca="1">+'Prog 01'!R178</f>
        <v>0</v>
      </c>
      <c r="R209" s="334" t="str">
        <f t="shared" ca="1" si="56"/>
        <v>0.00%</v>
      </c>
      <c r="S209" s="26"/>
      <c r="T209" s="122"/>
      <c r="U209" s="139"/>
      <c r="V209" s="144"/>
      <c r="W209" s="138"/>
      <c r="X209" s="138"/>
      <c r="Y209" s="138"/>
      <c r="Z209" s="142"/>
    </row>
    <row r="210" spans="1:26" s="58" customFormat="1" ht="15" hidden="1" customHeight="1" outlineLevel="1" x14ac:dyDescent="0.25">
      <c r="A210" s="777"/>
      <c r="B210" s="759"/>
      <c r="C210" s="778"/>
      <c r="D210" s="779"/>
      <c r="E210" s="119"/>
      <c r="F210" s="768" t="s">
        <v>968</v>
      </c>
      <c r="G210" s="780" t="s">
        <v>969</v>
      </c>
      <c r="H210" s="29">
        <f>+'Prog 01'!I179</f>
        <v>0</v>
      </c>
      <c r="I210" s="29">
        <f>'Prog 01'!J179</f>
        <v>0</v>
      </c>
      <c r="J210" s="29">
        <f ca="1">+'Prog 01'!K179</f>
        <v>0</v>
      </c>
      <c r="K210" s="781" t="str">
        <f t="shared" ca="1" si="53"/>
        <v>0.00%</v>
      </c>
      <c r="L210" s="29">
        <f>'Prog 01'!M179</f>
        <v>0</v>
      </c>
      <c r="M210" s="781">
        <f t="shared" si="57"/>
        <v>0</v>
      </c>
      <c r="N210" s="29">
        <f>+'Prog 01'!O179</f>
        <v>0</v>
      </c>
      <c r="O210" s="781">
        <f t="shared" si="58"/>
        <v>0</v>
      </c>
      <c r="P210" s="29">
        <v>0</v>
      </c>
      <c r="Q210" s="29">
        <v>0</v>
      </c>
      <c r="R210" s="781" t="str">
        <f t="shared" si="56"/>
        <v>0.00%</v>
      </c>
      <c r="S210" s="26"/>
      <c r="T210" s="122"/>
      <c r="U210" s="139"/>
      <c r="V210" s="144"/>
      <c r="W210" s="138"/>
      <c r="X210" s="138"/>
      <c r="Y210" s="138"/>
      <c r="Z210" s="142"/>
    </row>
    <row r="211" spans="1:26" s="58" customFormat="1" ht="15" hidden="1" customHeight="1" outlineLevel="1" x14ac:dyDescent="0.25">
      <c r="A211" s="777"/>
      <c r="B211" s="759"/>
      <c r="C211" s="778" t="s">
        <v>183</v>
      </c>
      <c r="D211" s="779"/>
      <c r="E211" s="119"/>
      <c r="F211" s="768"/>
      <c r="G211" s="780" t="s">
        <v>1018</v>
      </c>
      <c r="H211" s="29">
        <f>+H212+H213+H214</f>
        <v>585625</v>
      </c>
      <c r="I211" s="29">
        <f t="shared" ref="I211" si="59">+I212+I213+I214</f>
        <v>585625</v>
      </c>
      <c r="J211" s="29">
        <f ca="1">+J212+J213+J214</f>
        <v>89126.592000000004</v>
      </c>
      <c r="K211" s="781">
        <f ca="1">+J211/I211</f>
        <v>0.15219055197438636</v>
      </c>
      <c r="L211" s="29">
        <f>+L212+L213+L214</f>
        <v>341980.75899999996</v>
      </c>
      <c r="M211" s="781">
        <f>+L211/I211</f>
        <v>0.58395860661686227</v>
      </c>
      <c r="N211" s="29">
        <f>+N212+N213+N214</f>
        <v>243644.24100000001</v>
      </c>
      <c r="O211" s="781">
        <f>+'Prog 01'!P180</f>
        <v>1.6353297971315732E-2</v>
      </c>
      <c r="P211" s="29">
        <f>+P212+P213</f>
        <v>0</v>
      </c>
      <c r="Q211" s="29">
        <f>+Q212+Q213</f>
        <v>0</v>
      </c>
      <c r="R211" s="781" t="str">
        <f t="shared" si="56"/>
        <v>0.00%</v>
      </c>
      <c r="S211" s="26"/>
      <c r="T211" s="122"/>
      <c r="U211" s="139"/>
      <c r="V211" s="144"/>
      <c r="W211" s="138"/>
      <c r="X211" s="138"/>
      <c r="Y211" s="138"/>
      <c r="Z211" s="142"/>
    </row>
    <row r="212" spans="1:26" s="58" customFormat="1" ht="15" hidden="1" customHeight="1" outlineLevel="1" x14ac:dyDescent="0.25">
      <c r="A212" s="777"/>
      <c r="B212" s="759"/>
      <c r="C212" s="778"/>
      <c r="D212" s="779">
        <v>34</v>
      </c>
      <c r="E212" s="119"/>
      <c r="F212" s="768" t="s">
        <v>1035</v>
      </c>
      <c r="G212" s="780" t="str">
        <f>+'Prog 02'!G45</f>
        <v>Programa de Apoyo al Mejoramiento de la Gestión y de Servicios Municipales</v>
      </c>
      <c r="H212" s="29">
        <f>+'Prog 02'!H45</f>
        <v>31260</v>
      </c>
      <c r="I212" s="29">
        <f>+'Prog 02'!I45</f>
        <v>31260</v>
      </c>
      <c r="J212" s="29">
        <f ca="1">+'Prog 02'!J45</f>
        <v>2700</v>
      </c>
      <c r="K212" s="781">
        <f ca="1">+J212/I212</f>
        <v>8.6372360844529747E-2</v>
      </c>
      <c r="L212" s="29">
        <f>+'Prog 02'!L45</f>
        <v>22571.206999999999</v>
      </c>
      <c r="M212" s="781">
        <f>+L212/I212</f>
        <v>0.72204756877799103</v>
      </c>
      <c r="N212" s="29">
        <f>+'Prog 02'!N45</f>
        <v>8688.7930000000015</v>
      </c>
      <c r="O212" s="781">
        <f>+'Prog 02'!O45</f>
        <v>0.27795243122200902</v>
      </c>
      <c r="P212" s="29">
        <f>+'Prog 02'!P44</f>
        <v>0</v>
      </c>
      <c r="Q212" s="29">
        <f>+'Prog 02'!Q44</f>
        <v>0</v>
      </c>
      <c r="R212" s="781" t="str">
        <f t="shared" si="56"/>
        <v>0.00%</v>
      </c>
      <c r="S212" s="26"/>
      <c r="T212" s="122"/>
      <c r="U212" s="139"/>
      <c r="V212" s="144"/>
      <c r="W212" s="138"/>
      <c r="X212" s="138"/>
      <c r="Y212" s="138"/>
      <c r="Z212" s="142"/>
    </row>
    <row r="213" spans="1:26" s="58" customFormat="1" ht="15" hidden="1" customHeight="1" outlineLevel="1" x14ac:dyDescent="0.25">
      <c r="A213" s="777"/>
      <c r="B213" s="759"/>
      <c r="C213" s="778"/>
      <c r="D213" s="779">
        <v>409</v>
      </c>
      <c r="E213" s="119"/>
      <c r="F213" s="768" t="s">
        <v>1021</v>
      </c>
      <c r="G213" s="780" t="s">
        <v>1019</v>
      </c>
      <c r="H213" s="29">
        <f>+'Prog 01'!I181</f>
        <v>82763</v>
      </c>
      <c r="I213" s="29">
        <f>+'Prog 01'!J181</f>
        <v>82763</v>
      </c>
      <c r="J213" s="29">
        <f ca="1">+'Prog 01'!K181</f>
        <v>14426.592000000001</v>
      </c>
      <c r="K213" s="781">
        <f ca="1">+J213/I213</f>
        <v>0.17431209598492081</v>
      </c>
      <c r="L213" s="29">
        <f>+'Prog 01'!M181</f>
        <v>81409.551999999996</v>
      </c>
      <c r="M213" s="781">
        <f>+L213/I213</f>
        <v>0.98364670202868432</v>
      </c>
      <c r="N213" s="29">
        <f>+'Prog 01'!O181</f>
        <v>1353.448000000004</v>
      </c>
      <c r="O213" s="781">
        <f>+'Prog 01'!P181</f>
        <v>1.6353297971315732E-2</v>
      </c>
      <c r="P213" s="29">
        <v>0</v>
      </c>
      <c r="Q213" s="29">
        <v>0</v>
      </c>
      <c r="R213" s="781" t="str">
        <f t="shared" si="56"/>
        <v>0.00%</v>
      </c>
      <c r="S213" s="26"/>
      <c r="T213" s="122"/>
      <c r="U213" s="139"/>
      <c r="V213" s="144"/>
      <c r="W213" s="138"/>
      <c r="X213" s="138"/>
      <c r="Y213" s="138"/>
      <c r="Z213" s="142"/>
    </row>
    <row r="214" spans="1:26" s="777" customFormat="1" ht="15" hidden="1" customHeight="1" outlineLevel="1" x14ac:dyDescent="0.25">
      <c r="B214" s="759"/>
      <c r="C214" s="778"/>
      <c r="D214" s="779">
        <v>407</v>
      </c>
      <c r="E214" s="119"/>
      <c r="F214" s="768" t="s">
        <v>1058</v>
      </c>
      <c r="G214" s="780" t="str">
        <f>+'Prog 03'!G25</f>
        <v>Servicios de Asistencia Técnica Especializada SATE</v>
      </c>
      <c r="H214" s="29">
        <f>+'Prog 03'!H25</f>
        <v>471602</v>
      </c>
      <c r="I214" s="29">
        <f>+'Prog 03'!I25</f>
        <v>471602</v>
      </c>
      <c r="J214" s="29">
        <f ca="1">+'Prog 03'!J25</f>
        <v>72000</v>
      </c>
      <c r="K214" s="781">
        <f ca="1">+J214/I214</f>
        <v>0.15267110826502009</v>
      </c>
      <c r="L214" s="29">
        <f>+'Prog 03'!L25</f>
        <v>238000</v>
      </c>
      <c r="M214" s="781">
        <f>+L214/I214</f>
        <v>0.50466283009826085</v>
      </c>
      <c r="N214" s="29">
        <f>+'Prog 03'!N25</f>
        <v>233602</v>
      </c>
      <c r="O214" s="781">
        <f>+'Prog 03'!O25</f>
        <v>0.4953371699017392</v>
      </c>
      <c r="P214" s="29">
        <v>0</v>
      </c>
      <c r="Q214" s="29">
        <v>0</v>
      </c>
      <c r="R214" s="781">
        <v>0</v>
      </c>
      <c r="S214" s="3"/>
      <c r="T214" s="786"/>
      <c r="U214" s="787"/>
      <c r="V214" s="788"/>
      <c r="W214" s="789"/>
      <c r="X214" s="789"/>
      <c r="Y214" s="789"/>
      <c r="Z214" s="790"/>
    </row>
    <row r="215" spans="1:26" s="58" customFormat="1" ht="16.5" customHeight="1" outlineLevel="2" x14ac:dyDescent="0.25">
      <c r="B215" s="586">
        <v>25</v>
      </c>
      <c r="C215" s="32"/>
      <c r="D215" s="42"/>
      <c r="E215" s="39"/>
      <c r="F215" s="34"/>
      <c r="G215" s="587" t="s">
        <v>512</v>
      </c>
      <c r="H215" s="241">
        <f>+H216</f>
        <v>178407.99600000001</v>
      </c>
      <c r="I215" s="241">
        <f>+I216</f>
        <v>178407.99600000001</v>
      </c>
      <c r="J215" s="241">
        <f ca="1">+'Prog 01'!K182+'Prog 02'!J46+'Prog 03'!J28+'Prog 05'!J32</f>
        <v>56827.652999999998</v>
      </c>
      <c r="K215" s="334">
        <f ca="1">IFERROR(J215/I215,"0.00%")</f>
        <v>0.31852637927730543</v>
      </c>
      <c r="L215" s="241">
        <f>+L216</f>
        <v>56827.654000000002</v>
      </c>
      <c r="M215" s="334">
        <f>+IFERROR(L215/I215,0)</f>
        <v>0.3185263848824354</v>
      </c>
      <c r="N215" s="241">
        <f>+N216</f>
        <v>121580.34199999999</v>
      </c>
      <c r="O215" s="334">
        <f>+IFERROR(N215/I215,0)</f>
        <v>0.68147361511756444</v>
      </c>
      <c r="P215" s="35">
        <f>+'Prog 01'!Q182+'Prog 03'!P28+'Prog 05'!P32+'Prog 02'!P46</f>
        <v>178388.42020000002</v>
      </c>
      <c r="Q215" s="35">
        <f ca="1">+Q216</f>
        <v>601239.93419000006</v>
      </c>
      <c r="R215" s="334">
        <v>1</v>
      </c>
      <c r="S215" s="26"/>
      <c r="T215" s="122"/>
      <c r="U215" s="139"/>
      <c r="V215" s="144"/>
      <c r="W215" s="138"/>
      <c r="X215" s="138"/>
      <c r="Y215" s="138"/>
      <c r="Z215" s="142"/>
    </row>
    <row r="216" spans="1:26" s="260" customFormat="1" ht="15" hidden="1" customHeight="1" outlineLevel="2" x14ac:dyDescent="0.25">
      <c r="B216" s="586"/>
      <c r="C216" s="32">
        <v>99</v>
      </c>
      <c r="D216" s="42"/>
      <c r="E216" s="39"/>
      <c r="F216" s="34"/>
      <c r="G216" s="588" t="s">
        <v>513</v>
      </c>
      <c r="H216" s="35">
        <f>'Prog 01'!I182+'Prog 02'!H46+'Prog 03'!H28+'Prog 05'!H32</f>
        <v>178407.99600000001</v>
      </c>
      <c r="I216" s="35">
        <f>'Prog 01'!J182+'Prog 02'!I46+'Prog 03'!I28+'Prog 05'!I32</f>
        <v>178407.99600000001</v>
      </c>
      <c r="J216" s="35">
        <f ca="1">'Prog 01'!K182+'Prog 02'!J46+'Prog 03'!J28+'Prog 05'!J32</f>
        <v>56827.652999999998</v>
      </c>
      <c r="K216" s="334">
        <f t="shared" ca="1" si="53"/>
        <v>0.31852637927730543</v>
      </c>
      <c r="L216" s="35">
        <f>'Prog 01'!M182+'Prog 02'!L46+'Prog 03'!L28+'Prog 05'!L32</f>
        <v>56827.654000000002</v>
      </c>
      <c r="M216" s="334">
        <f t="shared" si="57"/>
        <v>0.3185263848824354</v>
      </c>
      <c r="N216" s="35">
        <f>+'Prog 01'!O183+'Prog 02'!N46+'Prog 03'!N29+'Prog 05'!N33</f>
        <v>121580.34199999999</v>
      </c>
      <c r="O216" s="334">
        <f t="shared" si="58"/>
        <v>0.68147361511756444</v>
      </c>
      <c r="P216" s="35">
        <f>+'Prog 01'!Q183+'Prog 03'!P29+'Prog 05'!P33+'Prog 02'!P47</f>
        <v>178388.52440000002</v>
      </c>
      <c r="Q216" s="35">
        <f ca="1">+'Prog 02'!Q47+'Prog 03'!Q29+'Prog 05'!Q33+'Prog 01'!R182</f>
        <v>601239.93419000006</v>
      </c>
      <c r="R216" s="334">
        <f t="shared" ca="1" si="56"/>
        <v>3.3703958043951396</v>
      </c>
      <c r="S216" s="127"/>
      <c r="T216" s="222"/>
      <c r="U216" s="261"/>
      <c r="V216" s="223"/>
      <c r="W216" s="224"/>
      <c r="X216" s="224"/>
      <c r="Y216" s="224"/>
      <c r="Z216" s="262"/>
    </row>
    <row r="217" spans="1:26" ht="15" hidden="1" customHeight="1" outlineLevel="2" x14ac:dyDescent="0.25">
      <c r="B217" s="586"/>
      <c r="C217" s="32"/>
      <c r="D217" s="42"/>
      <c r="E217" s="39"/>
      <c r="F217" s="34" t="s">
        <v>856</v>
      </c>
      <c r="G217" s="588" t="s">
        <v>854</v>
      </c>
      <c r="H217" s="35">
        <f>+'Prog 01'!I184</f>
        <v>178374</v>
      </c>
      <c r="I217" s="35">
        <f>'Prog 01'!J184</f>
        <v>178374</v>
      </c>
      <c r="J217" s="35">
        <f ca="1">'Prog 01'!K184</f>
        <v>56827.652999999998</v>
      </c>
      <c r="K217" s="334">
        <f t="shared" ca="1" si="53"/>
        <v>0.31858708668303676</v>
      </c>
      <c r="L217" s="35">
        <f>+'Prog 01'!M184</f>
        <v>56827.654000000002</v>
      </c>
      <c r="M217" s="334">
        <f t="shared" si="57"/>
        <v>0.31858709228923499</v>
      </c>
      <c r="N217" s="35">
        <f>+'Prog 01'!O184</f>
        <v>121546.34599999999</v>
      </c>
      <c r="O217" s="334">
        <f t="shared" si="58"/>
        <v>0.68141290771076501</v>
      </c>
      <c r="P217" s="35">
        <v>0</v>
      </c>
      <c r="Q217" s="35">
        <v>0</v>
      </c>
      <c r="R217" s="334" t="str">
        <f t="shared" si="56"/>
        <v>0.00%</v>
      </c>
      <c r="T217" s="122"/>
      <c r="V217" s="144"/>
      <c r="W217" s="138"/>
      <c r="X217" s="138"/>
      <c r="Y217" s="138"/>
      <c r="Z217" s="142"/>
    </row>
    <row r="218" spans="1:26" ht="15" hidden="1" customHeight="1" outlineLevel="2" x14ac:dyDescent="0.25">
      <c r="B218" s="586"/>
      <c r="C218" s="32"/>
      <c r="D218" s="42"/>
      <c r="E218" s="39"/>
      <c r="F218" s="34" t="s">
        <v>895</v>
      </c>
      <c r="G218" s="588" t="str">
        <f>+'Prog 02'!G49</f>
        <v>Integros por Saldos No Utilizados de Transferencia</v>
      </c>
      <c r="H218" s="35">
        <f>+'Prog 02'!H49</f>
        <v>1</v>
      </c>
      <c r="I218" s="35">
        <f>+'Prog 02'!I49</f>
        <v>1</v>
      </c>
      <c r="J218" s="35">
        <f ca="1">+'Prog 02'!J49</f>
        <v>0</v>
      </c>
      <c r="K218" s="334">
        <f t="shared" ca="1" si="53"/>
        <v>0</v>
      </c>
      <c r="L218" s="35">
        <f>+'Prog 02'!L49</f>
        <v>0</v>
      </c>
      <c r="M218" s="334">
        <f t="shared" si="57"/>
        <v>0</v>
      </c>
      <c r="N218" s="35">
        <f>+'Prog 02'!N49</f>
        <v>1</v>
      </c>
      <c r="O218" s="334">
        <f t="shared" si="58"/>
        <v>1</v>
      </c>
      <c r="P218" s="35">
        <v>0</v>
      </c>
      <c r="Q218" s="35">
        <v>0</v>
      </c>
      <c r="R218" s="334" t="str">
        <f t="shared" si="56"/>
        <v>0.00%</v>
      </c>
      <c r="T218" s="122"/>
      <c r="V218" s="144"/>
      <c r="W218" s="138"/>
      <c r="X218" s="138"/>
      <c r="Y218" s="138"/>
      <c r="Z218" s="142"/>
    </row>
    <row r="219" spans="1:26" ht="15" hidden="1" customHeight="1" outlineLevel="2" x14ac:dyDescent="0.25">
      <c r="B219" s="586"/>
      <c r="C219" s="32"/>
      <c r="D219" s="42"/>
      <c r="E219" s="39"/>
      <c r="F219" s="34" t="s">
        <v>891</v>
      </c>
      <c r="G219" s="588" t="s">
        <v>863</v>
      </c>
      <c r="H219" s="35">
        <f>+'Prog 01'!I186+'Prog 02'!H50</f>
        <v>2</v>
      </c>
      <c r="I219" s="35">
        <f>'Prog 01'!J186+'Prog 02'!I50</f>
        <v>2</v>
      </c>
      <c r="J219" s="35">
        <f ca="1">'Prog 01'!K186+'Prog 02'!J50</f>
        <v>0</v>
      </c>
      <c r="K219" s="334">
        <f t="shared" ca="1" si="53"/>
        <v>0</v>
      </c>
      <c r="L219" s="35">
        <f>'Prog 01'!M186+'Prog 02'!L50</f>
        <v>0</v>
      </c>
      <c r="M219" s="334">
        <f t="shared" si="57"/>
        <v>0</v>
      </c>
      <c r="N219" s="35">
        <f>+'Prog 01'!O186+'Prog 02'!N50</f>
        <v>2</v>
      </c>
      <c r="O219" s="334">
        <f t="shared" si="58"/>
        <v>1</v>
      </c>
      <c r="P219" s="35">
        <v>0</v>
      </c>
      <c r="Q219" s="35">
        <v>0</v>
      </c>
      <c r="R219" s="334" t="str">
        <f t="shared" si="56"/>
        <v>0.00%</v>
      </c>
      <c r="T219" s="122"/>
      <c r="V219" s="144"/>
      <c r="W219" s="138"/>
      <c r="X219" s="138"/>
      <c r="Y219" s="138"/>
      <c r="Z219" s="142"/>
    </row>
    <row r="220" spans="1:26" ht="15" hidden="1" customHeight="1" outlineLevel="2" x14ac:dyDescent="0.25">
      <c r="B220" s="586"/>
      <c r="C220" s="32"/>
      <c r="D220" s="42"/>
      <c r="E220" s="39"/>
      <c r="F220" s="34" t="s">
        <v>892</v>
      </c>
      <c r="G220" s="588" t="s">
        <v>864</v>
      </c>
      <c r="H220" s="35">
        <f>+'Prog 01'!I187</f>
        <v>1</v>
      </c>
      <c r="I220" s="35">
        <f>'Prog 01'!J187</f>
        <v>1</v>
      </c>
      <c r="J220" s="35">
        <f ca="1">'Prog 01'!K187</f>
        <v>0</v>
      </c>
      <c r="K220" s="334">
        <f t="shared" ca="1" si="53"/>
        <v>0</v>
      </c>
      <c r="L220" s="35">
        <f>'Prog 01'!M187</f>
        <v>0</v>
      </c>
      <c r="M220" s="334">
        <f t="shared" si="57"/>
        <v>0</v>
      </c>
      <c r="N220" s="35">
        <f>+'Prog 01'!O187</f>
        <v>1</v>
      </c>
      <c r="O220" s="334">
        <f t="shared" si="58"/>
        <v>1</v>
      </c>
      <c r="P220" s="35">
        <v>0</v>
      </c>
      <c r="Q220" s="35">
        <v>0</v>
      </c>
      <c r="R220" s="334" t="str">
        <f t="shared" si="56"/>
        <v>0.00%</v>
      </c>
      <c r="T220" s="122"/>
      <c r="V220" s="144"/>
      <c r="W220" s="138"/>
      <c r="X220" s="138"/>
      <c r="Y220" s="138"/>
      <c r="Z220" s="142"/>
    </row>
    <row r="221" spans="1:26" ht="15" hidden="1" customHeight="1" outlineLevel="2" x14ac:dyDescent="0.25">
      <c r="B221" s="586"/>
      <c r="C221" s="32"/>
      <c r="D221" s="42"/>
      <c r="E221" s="39"/>
      <c r="F221" s="34" t="s">
        <v>862</v>
      </c>
      <c r="G221" s="588" t="s">
        <v>51</v>
      </c>
      <c r="H221" s="35">
        <f>+'Prog 01'!I188+'Prog 02'!H52</f>
        <v>17</v>
      </c>
      <c r="I221" s="35">
        <f>'Prog 01'!J188+'Prog 02'!I52+'Prog 03'!I30+'Prog 05'!I33</f>
        <v>26.996000000000002</v>
      </c>
      <c r="J221" s="35">
        <f ca="1">'Prog 01'!K188+'Prog 02'!J52+'Prog 03'!J30+'Prog 05'!J33</f>
        <v>0</v>
      </c>
      <c r="K221" s="334">
        <f t="shared" ca="1" si="53"/>
        <v>0</v>
      </c>
      <c r="L221" s="35">
        <f>'Prog 01'!M188+'Prog 02'!L52+'Prog 03'!L30+'Prog 05'!L33</f>
        <v>0</v>
      </c>
      <c r="M221" s="334">
        <f t="shared" si="57"/>
        <v>0</v>
      </c>
      <c r="N221" s="35">
        <f>+'Prog 01'!O188+'Prog 02'!N52</f>
        <v>17</v>
      </c>
      <c r="O221" s="334">
        <f t="shared" si="58"/>
        <v>0.62972292191435764</v>
      </c>
      <c r="P221" s="35">
        <v>0</v>
      </c>
      <c r="Q221" s="35">
        <v>0</v>
      </c>
      <c r="R221" s="334" t="str">
        <f t="shared" si="56"/>
        <v>0.00%</v>
      </c>
      <c r="T221" s="122"/>
      <c r="V221" s="144"/>
      <c r="W221" s="138"/>
      <c r="X221" s="138"/>
      <c r="Y221" s="138"/>
      <c r="Z221" s="142"/>
    </row>
    <row r="222" spans="1:26" ht="15" customHeight="1" outlineLevel="2" x14ac:dyDescent="0.25">
      <c r="B222" s="586">
        <v>26</v>
      </c>
      <c r="C222" s="32"/>
      <c r="D222" s="42"/>
      <c r="E222" s="39"/>
      <c r="F222" s="34"/>
      <c r="G222" s="587" t="str">
        <f>+'Prog 03'!G31</f>
        <v>OTROS GASTOS CORRIENTES</v>
      </c>
      <c r="H222" s="35">
        <v>0</v>
      </c>
      <c r="I222" s="35">
        <v>0</v>
      </c>
      <c r="J222" s="35">
        <v>0</v>
      </c>
      <c r="K222" s="334" t="str">
        <f t="shared" si="53"/>
        <v>0.00%</v>
      </c>
      <c r="L222" s="35">
        <v>0</v>
      </c>
      <c r="M222" s="334">
        <f t="shared" si="57"/>
        <v>0</v>
      </c>
      <c r="N222" s="35">
        <v>0</v>
      </c>
      <c r="O222" s="334">
        <f t="shared" si="58"/>
        <v>0</v>
      </c>
      <c r="P222" s="35">
        <f>+P223</f>
        <v>0</v>
      </c>
      <c r="Q222" s="35">
        <f ca="1">+Q223</f>
        <v>0</v>
      </c>
      <c r="R222" s="334" t="str">
        <f t="shared" ca="1" si="56"/>
        <v>0.00%</v>
      </c>
      <c r="T222" s="122"/>
      <c r="V222" s="144"/>
      <c r="W222" s="138"/>
      <c r="X222" s="138"/>
      <c r="Y222" s="138"/>
      <c r="Z222" s="142"/>
    </row>
    <row r="223" spans="1:26" ht="15" hidden="1" customHeight="1" outlineLevel="2" x14ac:dyDescent="0.25">
      <c r="B223" s="586"/>
      <c r="C223" s="32">
        <v>1</v>
      </c>
      <c r="D223" s="42"/>
      <c r="E223" s="39"/>
      <c r="F223" s="34" t="s">
        <v>311</v>
      </c>
      <c r="G223" s="588" t="str">
        <f>+'Prog 03'!G32</f>
        <v>Devoluciones</v>
      </c>
      <c r="H223" s="35">
        <v>0</v>
      </c>
      <c r="I223" s="35">
        <v>0</v>
      </c>
      <c r="J223" s="35">
        <v>0</v>
      </c>
      <c r="K223" s="334" t="str">
        <f t="shared" si="53"/>
        <v>0.00%</v>
      </c>
      <c r="L223" s="35">
        <v>0</v>
      </c>
      <c r="M223" s="334">
        <f t="shared" si="57"/>
        <v>0</v>
      </c>
      <c r="N223" s="35">
        <v>0</v>
      </c>
      <c r="O223" s="334">
        <f t="shared" si="58"/>
        <v>0</v>
      </c>
      <c r="P223" s="35">
        <f>+'Prog 03'!P32</f>
        <v>0</v>
      </c>
      <c r="Q223" s="35">
        <f ca="1">+'Prog 03'!Q32</f>
        <v>0</v>
      </c>
      <c r="R223" s="334" t="str">
        <f t="shared" ca="1" si="56"/>
        <v>0.00%</v>
      </c>
      <c r="T223" s="122"/>
      <c r="V223" s="144"/>
      <c r="W223" s="138"/>
      <c r="X223" s="138"/>
      <c r="Y223" s="138"/>
      <c r="Z223" s="142"/>
    </row>
    <row r="224" spans="1:26" ht="15" customHeight="1" x14ac:dyDescent="0.25">
      <c r="B224" s="586">
        <v>29</v>
      </c>
      <c r="C224" s="32" t="s">
        <v>2</v>
      </c>
      <c r="D224" s="33"/>
      <c r="E224" s="34"/>
      <c r="F224" s="34"/>
      <c r="G224" s="587" t="s">
        <v>306</v>
      </c>
      <c r="H224" s="35">
        <f>+H225+H228+H229+H226+H227</f>
        <v>239135</v>
      </c>
      <c r="I224" s="35">
        <f>+I225+I228+I229+I226+I227</f>
        <v>227178</v>
      </c>
      <c r="J224" s="35">
        <f ca="1">+J225+J228+J229+J226+J227</f>
        <v>25191.001</v>
      </c>
      <c r="K224" s="334">
        <f ca="1">IFERROR(J224/I224,"0.00%")</f>
        <v>0.11088662194402626</v>
      </c>
      <c r="L224" s="35">
        <f>+L228+L229+L225+L226+L227</f>
        <v>25191.001</v>
      </c>
      <c r="M224" s="334">
        <f>+IFERROR(L224/I224,0)</f>
        <v>0.11088662194402626</v>
      </c>
      <c r="N224" s="35">
        <f>+N228+N229+N225+N226+N227</f>
        <v>201986.99900000001</v>
      </c>
      <c r="O224" s="334">
        <f>+IFERROR(N224/I224,0)</f>
        <v>0.88911337805597379</v>
      </c>
      <c r="P224" s="35">
        <f>SUM(P225:P229)</f>
        <v>273007.12599999999</v>
      </c>
      <c r="Q224" s="35">
        <f ca="1">SUM(Q225:Q229)</f>
        <v>36168.313908000004</v>
      </c>
      <c r="R224" s="334">
        <f ca="1">IFERROR(Q224/P224,"0.00%")</f>
        <v>0.13248120823044013</v>
      </c>
      <c r="T224" s="122"/>
      <c r="V224" s="144"/>
      <c r="W224" s="138"/>
      <c r="X224" s="138"/>
      <c r="Y224" s="138"/>
      <c r="Z224" s="142"/>
    </row>
    <row r="225" spans="2:26" ht="15" hidden="1" customHeight="1" x14ac:dyDescent="0.25">
      <c r="B225" s="586"/>
      <c r="C225" s="32">
        <v>3</v>
      </c>
      <c r="D225" s="33"/>
      <c r="E225" s="34"/>
      <c r="F225" s="34" t="s">
        <v>782</v>
      </c>
      <c r="G225" s="587" t="s">
        <v>784</v>
      </c>
      <c r="H225" s="35">
        <f>+'Prog 01'!I190</f>
        <v>26050</v>
      </c>
      <c r="I225" s="35">
        <f>'Prog 01'!J190</f>
        <v>26050</v>
      </c>
      <c r="J225" s="35">
        <f ca="1">'Prog 01'!K190</f>
        <v>25191.001</v>
      </c>
      <c r="K225" s="334">
        <f t="shared" ca="1" si="53"/>
        <v>0.96702499040307099</v>
      </c>
      <c r="L225" s="35">
        <f>INDEX(coincidenciaP01,MATCH(F225,indicep01,0),7)</f>
        <v>25191.001</v>
      </c>
      <c r="M225" s="334">
        <f t="shared" si="57"/>
        <v>0.96702499040307099</v>
      </c>
      <c r="N225" s="35">
        <f>+'Prog 01'!O190</f>
        <v>858.9989999999998</v>
      </c>
      <c r="O225" s="334">
        <f t="shared" si="58"/>
        <v>3.2975009596928978E-2</v>
      </c>
      <c r="P225" s="35">
        <f>+'Prog 01'!Q190</f>
        <v>34511.040000000001</v>
      </c>
      <c r="Q225" s="35">
        <f ca="1">+'Prog 01'!R190</f>
        <v>23399.776158000001</v>
      </c>
      <c r="R225" s="334">
        <f t="shared" ca="1" si="56"/>
        <v>0.67803740942028989</v>
      </c>
      <c r="T225" s="122"/>
      <c r="V225" s="144"/>
      <c r="W225" s="138"/>
      <c r="X225" s="138"/>
      <c r="Y225" s="138"/>
      <c r="Z225" s="142"/>
    </row>
    <row r="226" spans="2:26" ht="15" hidden="1" customHeight="1" x14ac:dyDescent="0.25">
      <c r="B226" s="586"/>
      <c r="C226" s="32">
        <v>4</v>
      </c>
      <c r="D226" s="33"/>
      <c r="E226" s="34"/>
      <c r="F226" s="34" t="s">
        <v>839</v>
      </c>
      <c r="G226" s="587" t="str">
        <f>+'Prog 01'!H191</f>
        <v>Mobiliario y Otros</v>
      </c>
      <c r="H226" s="35">
        <f>+'Prog 01'!I191</f>
        <v>0</v>
      </c>
      <c r="I226" s="35">
        <f>'Prog 01'!J191</f>
        <v>0</v>
      </c>
      <c r="J226" s="35">
        <f ca="1">'Prog 01'!K191</f>
        <v>0</v>
      </c>
      <c r="K226" s="334" t="str">
        <f t="shared" ca="1" si="53"/>
        <v>0.00%</v>
      </c>
      <c r="L226" s="35">
        <f>INDEX(coincidenciaP01,MATCH(F226,indicep01,0),7)</f>
        <v>0</v>
      </c>
      <c r="M226" s="334">
        <f t="shared" si="57"/>
        <v>0</v>
      </c>
      <c r="N226" s="35">
        <f>+'Prog 01'!O191</f>
        <v>0</v>
      </c>
      <c r="O226" s="334">
        <f t="shared" si="58"/>
        <v>0</v>
      </c>
      <c r="P226" s="35">
        <f>+'Prog 01'!Q191</f>
        <v>0</v>
      </c>
      <c r="Q226" s="35">
        <f ca="1">+'Prog 01'!R191</f>
        <v>0</v>
      </c>
      <c r="R226" s="334" t="str">
        <f t="shared" ca="1" si="56"/>
        <v>0.00%</v>
      </c>
      <c r="T226" s="122"/>
      <c r="V226" s="144"/>
      <c r="W226" s="138"/>
      <c r="X226" s="138"/>
      <c r="Y226" s="138"/>
      <c r="Z226" s="142"/>
    </row>
    <row r="227" spans="2:26" ht="15" hidden="1" customHeight="1" x14ac:dyDescent="0.25">
      <c r="B227" s="586"/>
      <c r="C227" s="32">
        <v>5</v>
      </c>
      <c r="D227" s="33"/>
      <c r="E227" s="34"/>
      <c r="F227" s="34" t="s">
        <v>877</v>
      </c>
      <c r="G227" s="587" t="str">
        <f>+'Prog 01'!H192</f>
        <v>Máquinas y Equipos</v>
      </c>
      <c r="H227" s="35">
        <f>+'Prog 01'!I192</f>
        <v>0</v>
      </c>
      <c r="I227" s="35">
        <f>'Prog 01'!J192</f>
        <v>0</v>
      </c>
      <c r="J227" s="35">
        <f ca="1">'Prog 01'!K192</f>
        <v>0</v>
      </c>
      <c r="K227" s="334" t="str">
        <f t="shared" ca="1" si="53"/>
        <v>0.00%</v>
      </c>
      <c r="L227" s="35">
        <f>INDEX(coincidenciaP01,MATCH(F227,indicep01,0),7)</f>
        <v>0</v>
      </c>
      <c r="M227" s="334">
        <f t="shared" si="57"/>
        <v>0</v>
      </c>
      <c r="N227" s="35">
        <f>+'Prog 01'!O192</f>
        <v>0</v>
      </c>
      <c r="O227" s="334">
        <f t="shared" si="58"/>
        <v>0</v>
      </c>
      <c r="P227" s="35">
        <f>+'Prog 01'!Q192</f>
        <v>0</v>
      </c>
      <c r="Q227" s="35">
        <f ca="1">+'Prog 01'!R192</f>
        <v>0</v>
      </c>
      <c r="R227" s="334" t="str">
        <f t="shared" ca="1" si="56"/>
        <v>0.00%</v>
      </c>
      <c r="T227" s="122"/>
      <c r="V227" s="144"/>
      <c r="W227" s="138"/>
      <c r="X227" s="138"/>
      <c r="Y227" s="138"/>
      <c r="Z227" s="142"/>
    </row>
    <row r="228" spans="2:26" ht="15" hidden="1" customHeight="1" x14ac:dyDescent="0.25">
      <c r="B228" s="586"/>
      <c r="C228" s="32" t="s">
        <v>702</v>
      </c>
      <c r="D228" s="33"/>
      <c r="E228" s="34"/>
      <c r="F228" s="34" t="s">
        <v>210</v>
      </c>
      <c r="G228" s="587" t="s">
        <v>81</v>
      </c>
      <c r="H228" s="35">
        <f>+'Prog 01'!I194</f>
        <v>0</v>
      </c>
      <c r="I228" s="35">
        <f>'Prog 01'!J194</f>
        <v>0</v>
      </c>
      <c r="J228" s="35">
        <f ca="1">'Prog 01'!K194</f>
        <v>0</v>
      </c>
      <c r="K228" s="334" t="str">
        <f t="shared" ca="1" si="53"/>
        <v>0.00%</v>
      </c>
      <c r="L228" s="35">
        <f>'Prog 01'!M194</f>
        <v>0</v>
      </c>
      <c r="M228" s="334">
        <f t="shared" si="57"/>
        <v>0</v>
      </c>
      <c r="N228" s="35">
        <f>+'Prog 01'!O194</f>
        <v>0</v>
      </c>
      <c r="O228" s="334">
        <f t="shared" si="58"/>
        <v>0</v>
      </c>
      <c r="P228" s="35">
        <f>+'Prog 01'!Q194</f>
        <v>0</v>
      </c>
      <c r="Q228" s="35">
        <f ca="1">+'Prog 01'!R194</f>
        <v>0</v>
      </c>
      <c r="R228" s="334" t="str">
        <f t="shared" ca="1" si="56"/>
        <v>0.00%</v>
      </c>
      <c r="T228" s="122"/>
      <c r="V228" s="144"/>
      <c r="W228" s="138"/>
      <c r="X228" s="138"/>
      <c r="Y228" s="138"/>
      <c r="Z228" s="142"/>
    </row>
    <row r="229" spans="2:26" ht="15" hidden="1" customHeight="1" outlineLevel="1" x14ac:dyDescent="0.25">
      <c r="B229" s="586" t="s">
        <v>2</v>
      </c>
      <c r="C229" s="32" t="s">
        <v>703</v>
      </c>
      <c r="D229" s="33"/>
      <c r="E229" s="34"/>
      <c r="F229" s="34" t="s">
        <v>213</v>
      </c>
      <c r="G229" s="587" t="s">
        <v>80</v>
      </c>
      <c r="H229" s="35">
        <f>+VLOOKUP(F229,matriz01,3,FALSE)</f>
        <v>213085</v>
      </c>
      <c r="I229" s="35">
        <f>'Prog 01'!J197</f>
        <v>201128</v>
      </c>
      <c r="J229" s="35">
        <f ca="1">'Prog 01'!K197</f>
        <v>0</v>
      </c>
      <c r="K229" s="334">
        <f t="shared" ca="1" si="53"/>
        <v>0</v>
      </c>
      <c r="L229" s="35">
        <f>'Prog 01'!M197</f>
        <v>0</v>
      </c>
      <c r="M229" s="334">
        <f t="shared" si="57"/>
        <v>0</v>
      </c>
      <c r="N229" s="35">
        <f>+'Prog 01'!O197</f>
        <v>201128</v>
      </c>
      <c r="O229" s="334">
        <f t="shared" si="58"/>
        <v>1</v>
      </c>
      <c r="P229" s="35">
        <f>+'Prog 01'!Q197</f>
        <v>238496.08600000001</v>
      </c>
      <c r="Q229" s="35">
        <f ca="1">+'Prog 01'!R197</f>
        <v>12768.537750000001</v>
      </c>
      <c r="R229" s="334">
        <f t="shared" ca="1" si="56"/>
        <v>5.3537724514271488E-2</v>
      </c>
      <c r="T229" s="122"/>
      <c r="V229" s="144"/>
      <c r="W229" s="138"/>
      <c r="X229" s="138"/>
      <c r="Y229" s="138"/>
      <c r="Z229" s="142"/>
    </row>
    <row r="230" spans="2:26" ht="15" customHeight="1" outlineLevel="1" x14ac:dyDescent="0.25">
      <c r="B230" s="586">
        <f>+'Prog 03'!B33</f>
        <v>30</v>
      </c>
      <c r="C230" s="32"/>
      <c r="D230" s="33"/>
      <c r="E230" s="34"/>
      <c r="F230" s="34"/>
      <c r="G230" s="587" t="str">
        <f>+'Prog 03'!G33</f>
        <v xml:space="preserve">ADQUISICIÓN DE ACTIVOS FINANCIEROS </v>
      </c>
      <c r="H230" s="35">
        <f>+'Prog 03'!H33</f>
        <v>0</v>
      </c>
      <c r="I230" s="35">
        <f>+'Prog 03'!I33</f>
        <v>0</v>
      </c>
      <c r="J230" s="35">
        <f ca="1">+'Prog 03'!J33</f>
        <v>0</v>
      </c>
      <c r="K230" s="334" t="str">
        <f ca="1">IFERROR(J230/I230,"0.00%")</f>
        <v>0.00%</v>
      </c>
      <c r="L230" s="35">
        <f>+'Prog 03'!L33</f>
        <v>0</v>
      </c>
      <c r="M230" s="334">
        <f>+IFERROR(L230/I230,0)</f>
        <v>0</v>
      </c>
      <c r="N230" s="35">
        <f>+'Prog 03'!N33</f>
        <v>0</v>
      </c>
      <c r="O230" s="334">
        <f>+IFERROR(N230/I230,0)</f>
        <v>0</v>
      </c>
      <c r="P230" s="35">
        <f>+'Prog 03'!P34</f>
        <v>0</v>
      </c>
      <c r="Q230" s="35">
        <f>+'Prog 03'!Q34</f>
        <v>0</v>
      </c>
      <c r="R230" s="334" t="str">
        <f>IFERROR(Q230/P230,"0.00%")</f>
        <v>0.00%</v>
      </c>
      <c r="T230" s="122"/>
      <c r="V230" s="144"/>
      <c r="W230" s="138"/>
      <c r="X230" s="138"/>
      <c r="Y230" s="138"/>
      <c r="Z230" s="142"/>
    </row>
    <row r="231" spans="2:26" ht="15.75" customHeight="1" x14ac:dyDescent="0.25">
      <c r="B231" s="586">
        <v>32</v>
      </c>
      <c r="C231" s="32" t="s">
        <v>2</v>
      </c>
      <c r="D231" s="33"/>
      <c r="E231" s="34"/>
      <c r="F231" s="34"/>
      <c r="G231" s="587" t="s">
        <v>148</v>
      </c>
      <c r="H231" s="35">
        <f>+H232</f>
        <v>8610052</v>
      </c>
      <c r="I231" s="36">
        <f>+I232</f>
        <v>8610052</v>
      </c>
      <c r="J231" s="36">
        <f ca="1">+J232</f>
        <v>0</v>
      </c>
      <c r="K231" s="334">
        <f ca="1">IFERROR(J231/I231,"0.00%")</f>
        <v>0</v>
      </c>
      <c r="L231" s="35">
        <f>+L232</f>
        <v>0</v>
      </c>
      <c r="M231" s="334">
        <f>+IFERROR(L231/I231,0)</f>
        <v>0</v>
      </c>
      <c r="N231" s="35">
        <f>+N232</f>
        <v>8610052</v>
      </c>
      <c r="O231" s="334">
        <f>+IFERROR(N231/I231,0)</f>
        <v>1</v>
      </c>
      <c r="P231" s="35">
        <f>+P232</f>
        <v>7888444.3280000007</v>
      </c>
      <c r="Q231" s="35">
        <f>+Q232</f>
        <v>0</v>
      </c>
      <c r="R231" s="334">
        <f>IFERROR(Q231/P231,"0.00%")</f>
        <v>0</v>
      </c>
      <c r="T231" s="122"/>
      <c r="V231" s="144"/>
      <c r="W231" s="138"/>
      <c r="X231" s="138"/>
      <c r="Y231" s="138"/>
      <c r="Z231" s="142"/>
    </row>
    <row r="232" spans="2:26" ht="15" hidden="1" customHeight="1" outlineLevel="1" x14ac:dyDescent="0.25">
      <c r="B232" s="586" t="s">
        <v>2</v>
      </c>
      <c r="C232" s="32">
        <v>4</v>
      </c>
      <c r="D232" s="33"/>
      <c r="E232" s="34"/>
      <c r="F232" s="34" t="s">
        <v>221</v>
      </c>
      <c r="G232" s="588" t="s">
        <v>145</v>
      </c>
      <c r="H232" s="35">
        <f>+'Prog 03'!H36</f>
        <v>8610052</v>
      </c>
      <c r="I232" s="35">
        <f>+'Prog 03'!I36</f>
        <v>8610052</v>
      </c>
      <c r="J232" s="35">
        <f ca="1">+'Prog 03'!J36</f>
        <v>0</v>
      </c>
      <c r="K232" s="334">
        <f t="shared" ca="1" si="53"/>
        <v>0</v>
      </c>
      <c r="L232" s="35">
        <f>'Prog 03'!L36</f>
        <v>0</v>
      </c>
      <c r="M232" s="334">
        <f t="shared" si="57"/>
        <v>0</v>
      </c>
      <c r="N232" s="35">
        <f>+'Prog 03'!N36</f>
        <v>8610052</v>
      </c>
      <c r="O232" s="334">
        <f t="shared" si="58"/>
        <v>1</v>
      </c>
      <c r="P232" s="35">
        <f>+P233+P234+P235</f>
        <v>7888444.3280000007</v>
      </c>
      <c r="Q232" s="35">
        <f>+Q233+Q234+Q235</f>
        <v>0</v>
      </c>
      <c r="R232" s="334">
        <f t="shared" si="56"/>
        <v>0</v>
      </c>
      <c r="T232" s="122"/>
      <c r="V232" s="144"/>
      <c r="W232" s="138"/>
      <c r="X232" s="138"/>
      <c r="Y232" s="138"/>
      <c r="Z232" s="142"/>
    </row>
    <row r="233" spans="2:26" ht="15" hidden="1" customHeight="1" outlineLevel="1" x14ac:dyDescent="0.25">
      <c r="B233" s="586"/>
      <c r="C233" s="32"/>
      <c r="D233" s="33"/>
      <c r="E233" s="34"/>
      <c r="F233" s="34"/>
      <c r="G233" s="588" t="s">
        <v>141</v>
      </c>
      <c r="H233" s="35">
        <f>+'Prog 03'!H36</f>
        <v>8610052</v>
      </c>
      <c r="I233" s="35">
        <f>+'Prog 03'!I36</f>
        <v>8610052</v>
      </c>
      <c r="J233" s="35">
        <f ca="1">+'Prog 03'!J36</f>
        <v>0</v>
      </c>
      <c r="K233" s="334">
        <f t="shared" ca="1" si="53"/>
        <v>0</v>
      </c>
      <c r="L233" s="35"/>
      <c r="M233" s="334">
        <f t="shared" si="57"/>
        <v>0</v>
      </c>
      <c r="N233" s="35">
        <f>+'Prog 03'!N36</f>
        <v>8610052</v>
      </c>
      <c r="O233" s="334">
        <f t="shared" si="58"/>
        <v>1</v>
      </c>
      <c r="P233" s="35">
        <f>+'Prog 03'!P36</f>
        <v>7888444.3280000007</v>
      </c>
      <c r="Q233" s="35">
        <f>+'Prog 03'!Q36</f>
        <v>0</v>
      </c>
      <c r="R233" s="334">
        <f t="shared" si="56"/>
        <v>0</v>
      </c>
      <c r="T233" s="122"/>
      <c r="V233" s="144"/>
      <c r="W233" s="138"/>
      <c r="X233" s="138"/>
      <c r="Y233" s="138"/>
      <c r="Z233" s="142"/>
    </row>
    <row r="234" spans="2:26" ht="15" hidden="1" customHeight="1" outlineLevel="1" x14ac:dyDescent="0.25">
      <c r="B234" s="586"/>
      <c r="C234" s="32"/>
      <c r="D234" s="33"/>
      <c r="E234" s="34"/>
      <c r="F234" s="34" t="s">
        <v>710</v>
      </c>
      <c r="G234" s="588" t="s">
        <v>611</v>
      </c>
      <c r="H234" s="35">
        <v>0</v>
      </c>
      <c r="I234" s="35">
        <v>0</v>
      </c>
      <c r="J234" s="35">
        <v>0</v>
      </c>
      <c r="K234" s="334" t="str">
        <f t="shared" si="53"/>
        <v>0.00%</v>
      </c>
      <c r="L234" s="35">
        <v>0</v>
      </c>
      <c r="M234" s="334">
        <f t="shared" si="57"/>
        <v>0</v>
      </c>
      <c r="N234" s="35">
        <v>0</v>
      </c>
      <c r="O234" s="334">
        <f t="shared" si="58"/>
        <v>0</v>
      </c>
      <c r="P234" s="35">
        <f>+'Prog 03'!P37</f>
        <v>0</v>
      </c>
      <c r="Q234" s="35">
        <f>'Prog 03'!Q37</f>
        <v>0</v>
      </c>
      <c r="R234" s="334" t="str">
        <f t="shared" si="56"/>
        <v>0.00%</v>
      </c>
      <c r="T234" s="122"/>
      <c r="V234" s="144"/>
      <c r="W234" s="138"/>
      <c r="X234" s="138"/>
      <c r="Y234" s="138"/>
      <c r="Z234" s="142"/>
    </row>
    <row r="235" spans="2:26" ht="15" hidden="1" customHeight="1" outlineLevel="1" x14ac:dyDescent="0.25">
      <c r="B235" s="586"/>
      <c r="C235" s="32"/>
      <c r="D235" s="33"/>
      <c r="E235" s="34"/>
      <c r="F235" s="34" t="s">
        <v>738</v>
      </c>
      <c r="G235" s="588" t="s">
        <v>631</v>
      </c>
      <c r="H235" s="35">
        <v>0</v>
      </c>
      <c r="I235" s="35">
        <v>0</v>
      </c>
      <c r="J235" s="35">
        <v>0</v>
      </c>
      <c r="K235" s="334" t="str">
        <f t="shared" si="53"/>
        <v>0.00%</v>
      </c>
      <c r="L235" s="35">
        <v>0</v>
      </c>
      <c r="M235" s="334">
        <f t="shared" si="57"/>
        <v>0</v>
      </c>
      <c r="N235" s="35">
        <v>0</v>
      </c>
      <c r="O235" s="334">
        <f t="shared" si="58"/>
        <v>0</v>
      </c>
      <c r="P235" s="35">
        <v>0</v>
      </c>
      <c r="Q235" s="35">
        <v>0</v>
      </c>
      <c r="R235" s="334" t="str">
        <f t="shared" si="56"/>
        <v>0.00%</v>
      </c>
      <c r="T235" s="122"/>
      <c r="V235" s="144"/>
      <c r="W235" s="138"/>
      <c r="X235" s="138"/>
      <c r="Y235" s="138"/>
      <c r="Z235" s="142"/>
    </row>
    <row r="236" spans="2:26" ht="15" customHeight="1" collapsed="1" x14ac:dyDescent="0.25">
      <c r="B236" s="586">
        <v>33</v>
      </c>
      <c r="C236" s="32" t="s">
        <v>2</v>
      </c>
      <c r="D236" s="33"/>
      <c r="E236" s="34"/>
      <c r="F236" s="34"/>
      <c r="G236" s="587" t="s">
        <v>149</v>
      </c>
      <c r="H236" s="35">
        <f>+H237+H262</f>
        <v>296545699</v>
      </c>
      <c r="I236" s="35">
        <f>+I237+I262</f>
        <v>240446093</v>
      </c>
      <c r="J236" s="35">
        <f ca="1">+J237+J262</f>
        <v>13566915.027999999</v>
      </c>
      <c r="K236" s="334">
        <f ca="1">IFERROR(J236/I236,"0.00%")</f>
        <v>5.6423936270821415E-2</v>
      </c>
      <c r="L236" s="35">
        <f>+L237+L262</f>
        <v>14458398.561000001</v>
      </c>
      <c r="M236" s="334">
        <f>+IFERROR(L236/I236,0)</f>
        <v>6.0131559555014272E-2</v>
      </c>
      <c r="N236" s="35">
        <f>+N237+N262</f>
        <v>220628222.43900001</v>
      </c>
      <c r="O236" s="334">
        <f>+IFERROR(N236/I236,0)</f>
        <v>0.91757873744698359</v>
      </c>
      <c r="P236" s="35">
        <f>+P237+P262</f>
        <v>283187626.46800005</v>
      </c>
      <c r="Q236" s="35">
        <f ca="1">+Q237+Q262</f>
        <v>25003162.689013999</v>
      </c>
      <c r="R236" s="334">
        <f ca="1">IFERROR(Q236/P236,"0.00%")</f>
        <v>8.8291861480181352E-2</v>
      </c>
      <c r="T236" s="122"/>
      <c r="V236" s="144"/>
      <c r="W236" s="138"/>
      <c r="X236" s="138"/>
      <c r="Y236" s="138"/>
      <c r="Z236" s="142"/>
    </row>
    <row r="237" spans="2:26" ht="14.25" hidden="1" customHeight="1" outlineLevel="1" x14ac:dyDescent="0.25">
      <c r="B237" s="586"/>
      <c r="C237" s="32" t="s">
        <v>162</v>
      </c>
      <c r="D237" s="33"/>
      <c r="E237" s="34"/>
      <c r="F237" s="34"/>
      <c r="G237" s="587" t="s">
        <v>86</v>
      </c>
      <c r="H237" s="35">
        <f>SUM(H238:H261)</f>
        <v>0</v>
      </c>
      <c r="I237" s="35">
        <f>SUM(I238:I261)</f>
        <v>5359472</v>
      </c>
      <c r="J237" s="35">
        <f ca="1">SUM(J238:J261)</f>
        <v>0</v>
      </c>
      <c r="K237" s="334">
        <f t="shared" ca="1" si="53"/>
        <v>0</v>
      </c>
      <c r="L237" s="35">
        <f>SUM(L238:L261)</f>
        <v>0</v>
      </c>
      <c r="M237" s="334">
        <f t="shared" si="57"/>
        <v>0</v>
      </c>
      <c r="N237" s="35">
        <f>SUM(N238:N261)</f>
        <v>0</v>
      </c>
      <c r="O237" s="334">
        <f t="shared" si="58"/>
        <v>0</v>
      </c>
      <c r="P237" s="35">
        <f>SUM(P238:P261)</f>
        <v>0</v>
      </c>
      <c r="Q237" s="35">
        <f ca="1">SUM(Q238:Q261)</f>
        <v>0</v>
      </c>
      <c r="R237" s="334" t="str">
        <f t="shared" ca="1" si="56"/>
        <v>0.00%</v>
      </c>
      <c r="T237" s="122"/>
      <c r="V237" s="144"/>
      <c r="W237" s="138"/>
      <c r="X237" s="138"/>
      <c r="Y237" s="138"/>
      <c r="Z237" s="142"/>
    </row>
    <row r="238" spans="2:26" ht="15" hidden="1" customHeight="1" outlineLevel="2" x14ac:dyDescent="0.25">
      <c r="B238" s="586"/>
      <c r="C238" s="32"/>
      <c r="D238" s="40" t="s">
        <v>167</v>
      </c>
      <c r="E238" s="616"/>
      <c r="F238" s="34" t="str">
        <f>+CONCATENATE($B$236,"",$C$237,"",D238,"",E238)</f>
        <v>33.02.001</v>
      </c>
      <c r="G238" s="588" t="s">
        <v>720</v>
      </c>
      <c r="H238" s="35">
        <f>+'Prog 05'!H36</f>
        <v>0</v>
      </c>
      <c r="I238" s="35">
        <f>+'Prog 05'!I36</f>
        <v>0</v>
      </c>
      <c r="J238" s="35">
        <f ca="1">+'Prog 05'!J36</f>
        <v>0</v>
      </c>
      <c r="K238" s="334" t="str">
        <f t="shared" ca="1" si="53"/>
        <v>0.00%</v>
      </c>
      <c r="L238" s="35">
        <f>+'Prog 05'!L36</f>
        <v>0</v>
      </c>
      <c r="M238" s="334">
        <f t="shared" si="57"/>
        <v>0</v>
      </c>
      <c r="N238" s="35">
        <f>+'Prog 05'!N36</f>
        <v>0</v>
      </c>
      <c r="O238" s="334">
        <f t="shared" si="58"/>
        <v>0</v>
      </c>
      <c r="P238" s="35">
        <f>+'Prog 05'!P36</f>
        <v>0</v>
      </c>
      <c r="Q238" s="35">
        <f>+'Prog 05'!Q36</f>
        <v>0</v>
      </c>
      <c r="R238" s="334" t="str">
        <f t="shared" si="56"/>
        <v>0.00%</v>
      </c>
      <c r="T238" s="122"/>
      <c r="V238" s="144"/>
      <c r="W238" s="138"/>
      <c r="X238" s="138"/>
      <c r="Y238" s="138"/>
      <c r="Z238" s="142"/>
    </row>
    <row r="239" spans="2:26" ht="15" hidden="1" customHeight="1" outlineLevel="2" x14ac:dyDescent="0.25">
      <c r="B239" s="586"/>
      <c r="C239" s="32"/>
      <c r="D239" s="40" t="s">
        <v>163</v>
      </c>
      <c r="E239" s="616"/>
      <c r="F239" s="34" t="str">
        <f t="shared" ref="F239:F261" si="60">+CONCATENATE($B$236,"",$C$237,"",D239,"",E239)</f>
        <v>33.02.002</v>
      </c>
      <c r="G239" s="588" t="s">
        <v>721</v>
      </c>
      <c r="H239" s="35">
        <f>+'Prog 05'!H37</f>
        <v>0</v>
      </c>
      <c r="I239" s="35">
        <f>+'Prog 05'!I37</f>
        <v>0</v>
      </c>
      <c r="J239" s="35">
        <f ca="1">+'Prog 05'!J37</f>
        <v>0</v>
      </c>
      <c r="K239" s="334" t="str">
        <f t="shared" ca="1" si="53"/>
        <v>0.00%</v>
      </c>
      <c r="L239" s="35">
        <f>+'Prog 05'!L37</f>
        <v>0</v>
      </c>
      <c r="M239" s="334">
        <f t="shared" si="57"/>
        <v>0</v>
      </c>
      <c r="N239" s="35">
        <f>+'Prog 05'!N37</f>
        <v>0</v>
      </c>
      <c r="O239" s="334">
        <f t="shared" si="58"/>
        <v>0</v>
      </c>
      <c r="P239" s="35">
        <f>+'Prog 05'!P37</f>
        <v>0</v>
      </c>
      <c r="Q239" s="35">
        <f ca="1">+'Prog 05'!Q37</f>
        <v>0</v>
      </c>
      <c r="R239" s="334" t="str">
        <f t="shared" ca="1" si="56"/>
        <v>0.00%</v>
      </c>
      <c r="T239" s="122"/>
      <c r="V239" s="144"/>
      <c r="W239" s="138"/>
      <c r="X239" s="138"/>
      <c r="Y239" s="138"/>
      <c r="Z239" s="142"/>
    </row>
    <row r="240" spans="2:26" ht="15" hidden="1" customHeight="1" outlineLevel="2" x14ac:dyDescent="0.25">
      <c r="B240" s="586"/>
      <c r="C240" s="32"/>
      <c r="D240" s="40" t="s">
        <v>164</v>
      </c>
      <c r="E240" s="616"/>
      <c r="F240" s="34" t="str">
        <f t="shared" si="60"/>
        <v>33.02.003</v>
      </c>
      <c r="G240" s="588" t="s">
        <v>722</v>
      </c>
      <c r="H240" s="35">
        <f>+'Prog 05'!H38</f>
        <v>0</v>
      </c>
      <c r="I240" s="35">
        <f>+'Prog 05'!I38</f>
        <v>0</v>
      </c>
      <c r="J240" s="35">
        <f ca="1">+'Prog 05'!J38</f>
        <v>0</v>
      </c>
      <c r="K240" s="334" t="str">
        <f t="shared" ca="1" si="53"/>
        <v>0.00%</v>
      </c>
      <c r="L240" s="35">
        <f>+'Prog 05'!L38</f>
        <v>0</v>
      </c>
      <c r="M240" s="334">
        <f t="shared" si="57"/>
        <v>0</v>
      </c>
      <c r="N240" s="35">
        <f>+'Prog 05'!N38</f>
        <v>0</v>
      </c>
      <c r="O240" s="334">
        <f t="shared" si="58"/>
        <v>0</v>
      </c>
      <c r="P240" s="35">
        <f>+'Prog 05'!P38</f>
        <v>0</v>
      </c>
      <c r="Q240" s="35">
        <f ca="1">+'Prog 05'!Q38</f>
        <v>0</v>
      </c>
      <c r="R240" s="334" t="str">
        <f t="shared" ca="1" si="56"/>
        <v>0.00%</v>
      </c>
      <c r="T240" s="122"/>
      <c r="V240" s="144"/>
      <c r="W240" s="138"/>
      <c r="X240" s="138"/>
      <c r="Y240" s="138"/>
      <c r="Z240" s="142"/>
    </row>
    <row r="241" spans="2:26" ht="15" hidden="1" customHeight="1" outlineLevel="2" x14ac:dyDescent="0.25">
      <c r="B241" s="586"/>
      <c r="C241" s="32"/>
      <c r="D241" s="40" t="s">
        <v>177</v>
      </c>
      <c r="E241" s="616"/>
      <c r="F241" s="34" t="str">
        <f t="shared" si="60"/>
        <v>33.02.004</v>
      </c>
      <c r="G241" s="588" t="s">
        <v>723</v>
      </c>
      <c r="H241" s="35">
        <f>+'Prog 05'!H39</f>
        <v>0</v>
      </c>
      <c r="I241" s="35">
        <f>+'Prog 05'!I39</f>
        <v>0</v>
      </c>
      <c r="J241" s="35">
        <f ca="1">+'Prog 05'!J39</f>
        <v>0</v>
      </c>
      <c r="K241" s="334" t="str">
        <f t="shared" ca="1" si="53"/>
        <v>0.00%</v>
      </c>
      <c r="L241" s="35">
        <f>+'Prog 05'!L39</f>
        <v>0</v>
      </c>
      <c r="M241" s="334">
        <f t="shared" si="57"/>
        <v>0</v>
      </c>
      <c r="N241" s="35">
        <f>+'Prog 05'!N39</f>
        <v>0</v>
      </c>
      <c r="O241" s="334">
        <f t="shared" si="58"/>
        <v>0</v>
      </c>
      <c r="P241" s="35">
        <f>+'Prog 05'!P39</f>
        <v>0</v>
      </c>
      <c r="Q241" s="35">
        <f ca="1">+'Prog 05'!Q39</f>
        <v>0</v>
      </c>
      <c r="R241" s="334" t="str">
        <f t="shared" ca="1" si="56"/>
        <v>0.00%</v>
      </c>
      <c r="T241" s="122"/>
      <c r="V241" s="144"/>
      <c r="W241" s="138"/>
      <c r="X241" s="138"/>
      <c r="Y241" s="138"/>
      <c r="Z241" s="142"/>
    </row>
    <row r="242" spans="2:26" ht="15" hidden="1" customHeight="1" outlineLevel="2" x14ac:dyDescent="0.25">
      <c r="B242" s="586"/>
      <c r="C242" s="32"/>
      <c r="D242" s="40" t="s">
        <v>178</v>
      </c>
      <c r="E242" s="616"/>
      <c r="F242" s="34" t="str">
        <f t="shared" si="60"/>
        <v>33.02.005</v>
      </c>
      <c r="G242" s="588" t="s">
        <v>724</v>
      </c>
      <c r="H242" s="35">
        <f>+'Prog 05'!H40</f>
        <v>0</v>
      </c>
      <c r="I242" s="35">
        <f>+'Prog 05'!I40</f>
        <v>0</v>
      </c>
      <c r="J242" s="35">
        <f ca="1">+'Prog 05'!J40</f>
        <v>0</v>
      </c>
      <c r="K242" s="334" t="str">
        <f t="shared" ca="1" si="53"/>
        <v>0.00%</v>
      </c>
      <c r="L242" s="35">
        <f>+'Prog 05'!L40</f>
        <v>0</v>
      </c>
      <c r="M242" s="334">
        <f t="shared" si="57"/>
        <v>0</v>
      </c>
      <c r="N242" s="35">
        <f>+'Prog 05'!N40</f>
        <v>0</v>
      </c>
      <c r="O242" s="334">
        <f t="shared" si="58"/>
        <v>0</v>
      </c>
      <c r="P242" s="35">
        <f>+'Prog 05'!P40</f>
        <v>0</v>
      </c>
      <c r="Q242" s="35">
        <f ca="1">+'Prog 05'!Q40</f>
        <v>0</v>
      </c>
      <c r="R242" s="334" t="str">
        <f t="shared" ca="1" si="56"/>
        <v>0.00%</v>
      </c>
      <c r="T242" s="122"/>
      <c r="V242" s="144"/>
      <c r="W242" s="138"/>
      <c r="X242" s="138"/>
      <c r="Y242" s="138"/>
      <c r="Z242" s="142"/>
    </row>
    <row r="243" spans="2:26" ht="15" hidden="1" customHeight="1" outlineLevel="2" x14ac:dyDescent="0.25">
      <c r="B243" s="586"/>
      <c r="C243" s="32"/>
      <c r="D243" s="40" t="s">
        <v>179</v>
      </c>
      <c r="E243" s="616"/>
      <c r="F243" s="34" t="str">
        <f t="shared" si="60"/>
        <v>33.02.006</v>
      </c>
      <c r="G243" s="588" t="s">
        <v>725</v>
      </c>
      <c r="H243" s="35">
        <v>0</v>
      </c>
      <c r="I243" s="35">
        <f>+'Prog 05'!I41</f>
        <v>0</v>
      </c>
      <c r="J243" s="35">
        <f ca="1">+'Prog 05'!J41</f>
        <v>0</v>
      </c>
      <c r="K243" s="334" t="str">
        <f t="shared" ca="1" si="53"/>
        <v>0.00%</v>
      </c>
      <c r="L243" s="35">
        <f>+'Prog 05'!L41</f>
        <v>0</v>
      </c>
      <c r="M243" s="334">
        <f t="shared" si="57"/>
        <v>0</v>
      </c>
      <c r="N243" s="35">
        <f>+'Prog 05'!N41</f>
        <v>0</v>
      </c>
      <c r="O243" s="334">
        <f t="shared" si="58"/>
        <v>0</v>
      </c>
      <c r="P243" s="35">
        <f>+'Prog 05'!P41</f>
        <v>0</v>
      </c>
      <c r="Q243" s="35">
        <f ca="1">+'Prog 05'!Q41</f>
        <v>0</v>
      </c>
      <c r="R243" s="334" t="str">
        <f t="shared" ca="1" si="56"/>
        <v>0.00%</v>
      </c>
      <c r="T243" s="122"/>
      <c r="V243" s="144"/>
      <c r="W243" s="138"/>
      <c r="X243" s="138"/>
      <c r="Y243" s="138"/>
      <c r="Z243" s="142"/>
    </row>
    <row r="244" spans="2:26" ht="15" hidden="1" customHeight="1" outlineLevel="2" x14ac:dyDescent="0.25">
      <c r="B244" s="586"/>
      <c r="C244" s="32"/>
      <c r="D244" s="40" t="s">
        <v>168</v>
      </c>
      <c r="E244" s="616"/>
      <c r="F244" s="34" t="str">
        <f t="shared" si="60"/>
        <v>33.02.007</v>
      </c>
      <c r="G244" s="588" t="s">
        <v>726</v>
      </c>
      <c r="H244" s="35">
        <f>+'Prog 05'!H42</f>
        <v>0</v>
      </c>
      <c r="I244" s="35">
        <f>+'Prog 05'!I42</f>
        <v>0</v>
      </c>
      <c r="J244" s="35">
        <f ca="1">+'Prog 05'!J42</f>
        <v>0</v>
      </c>
      <c r="K244" s="334" t="str">
        <f t="shared" ca="1" si="53"/>
        <v>0.00%</v>
      </c>
      <c r="L244" s="35">
        <f>+'Prog 05'!L42</f>
        <v>0</v>
      </c>
      <c r="M244" s="334">
        <f t="shared" si="57"/>
        <v>0</v>
      </c>
      <c r="N244" s="35">
        <f>+'Prog 05'!N42</f>
        <v>0</v>
      </c>
      <c r="O244" s="334">
        <f t="shared" si="58"/>
        <v>0</v>
      </c>
      <c r="P244" s="35">
        <f>+'Prog 05'!P42</f>
        <v>0</v>
      </c>
      <c r="Q244" s="35">
        <f ca="1">+'Prog 05'!Q42</f>
        <v>0</v>
      </c>
      <c r="R244" s="334" t="str">
        <f t="shared" ca="1" si="56"/>
        <v>0.00%</v>
      </c>
      <c r="T244" s="122"/>
      <c r="V244" s="144"/>
      <c r="W244" s="138"/>
      <c r="X244" s="138"/>
      <c r="Y244" s="138"/>
      <c r="Z244" s="142"/>
    </row>
    <row r="245" spans="2:26" ht="15" hidden="1" customHeight="1" outlineLevel="2" x14ac:dyDescent="0.25">
      <c r="B245" s="586"/>
      <c r="C245" s="32"/>
      <c r="D245" s="40" t="s">
        <v>169</v>
      </c>
      <c r="E245" s="616"/>
      <c r="F245" s="34" t="str">
        <f t="shared" si="60"/>
        <v>33.02.008</v>
      </c>
      <c r="G245" s="588" t="s">
        <v>727</v>
      </c>
      <c r="H245" s="35">
        <f>+'Prog 05'!H43</f>
        <v>0</v>
      </c>
      <c r="I245" s="35">
        <f>+'Prog 05'!I43</f>
        <v>0</v>
      </c>
      <c r="J245" s="35">
        <f ca="1">+'Prog 05'!J43</f>
        <v>0</v>
      </c>
      <c r="K245" s="334" t="str">
        <f t="shared" ca="1" si="53"/>
        <v>0.00%</v>
      </c>
      <c r="L245" s="35">
        <f>+'Prog 05'!L43</f>
        <v>0</v>
      </c>
      <c r="M245" s="334">
        <f t="shared" si="57"/>
        <v>0</v>
      </c>
      <c r="N245" s="35">
        <f>+'Prog 05'!N43</f>
        <v>0</v>
      </c>
      <c r="O245" s="334">
        <f t="shared" si="58"/>
        <v>0</v>
      </c>
      <c r="P245" s="35">
        <f>+'Prog 05'!P43</f>
        <v>0</v>
      </c>
      <c r="Q245" s="35">
        <f ca="1">+'Prog 05'!Q43</f>
        <v>0</v>
      </c>
      <c r="R245" s="334" t="str">
        <f t="shared" ca="1" si="56"/>
        <v>0.00%</v>
      </c>
      <c r="T245" s="122"/>
      <c r="V245" s="144"/>
      <c r="W245" s="138"/>
      <c r="X245" s="138"/>
      <c r="Y245" s="138"/>
      <c r="Z245" s="142"/>
    </row>
    <row r="246" spans="2:26" ht="15" hidden="1" customHeight="1" outlineLevel="2" x14ac:dyDescent="0.25">
      <c r="B246" s="586"/>
      <c r="C246" s="32"/>
      <c r="D246" s="40" t="s">
        <v>170</v>
      </c>
      <c r="E246" s="616"/>
      <c r="F246" s="34" t="str">
        <f t="shared" si="60"/>
        <v>33.02.009</v>
      </c>
      <c r="G246" s="588" t="s">
        <v>728</v>
      </c>
      <c r="H246" s="35">
        <f>+'Prog 05'!H44</f>
        <v>0</v>
      </c>
      <c r="I246" s="35">
        <f>+'Prog 05'!I44</f>
        <v>0</v>
      </c>
      <c r="J246" s="35">
        <f ca="1">+'Prog 05'!J44</f>
        <v>0</v>
      </c>
      <c r="K246" s="334" t="str">
        <f t="shared" ca="1" si="53"/>
        <v>0.00%</v>
      </c>
      <c r="L246" s="35">
        <v>0</v>
      </c>
      <c r="M246" s="334">
        <f t="shared" si="57"/>
        <v>0</v>
      </c>
      <c r="N246" s="35">
        <f>+'Prog 05'!N44</f>
        <v>0</v>
      </c>
      <c r="O246" s="334">
        <f t="shared" si="58"/>
        <v>0</v>
      </c>
      <c r="P246" s="35">
        <f>+'Prog 05'!P44</f>
        <v>0</v>
      </c>
      <c r="Q246" s="35">
        <f ca="1">+'Prog 05'!Q44</f>
        <v>0</v>
      </c>
      <c r="R246" s="334" t="str">
        <f t="shared" ca="1" si="56"/>
        <v>0.00%</v>
      </c>
      <c r="T246" s="122"/>
      <c r="V246" s="144"/>
      <c r="W246" s="138"/>
      <c r="X246" s="138"/>
      <c r="Y246" s="138"/>
      <c r="Z246" s="142"/>
    </row>
    <row r="247" spans="2:26" ht="15" hidden="1" customHeight="1" outlineLevel="2" x14ac:dyDescent="0.25">
      <c r="B247" s="586"/>
      <c r="C247" s="32"/>
      <c r="D247" s="40" t="s">
        <v>171</v>
      </c>
      <c r="E247" s="616"/>
      <c r="F247" s="34" t="str">
        <f t="shared" si="60"/>
        <v>33.02.010</v>
      </c>
      <c r="G247" s="588" t="s">
        <v>729</v>
      </c>
      <c r="H247" s="35">
        <f>+'Prog 05'!H45</f>
        <v>0</v>
      </c>
      <c r="I247" s="35">
        <f>+'Prog 05'!I45</f>
        <v>0</v>
      </c>
      <c r="J247" s="35">
        <f ca="1">+'Prog 05'!J45</f>
        <v>0</v>
      </c>
      <c r="K247" s="334" t="str">
        <f t="shared" ca="1" si="53"/>
        <v>0.00%</v>
      </c>
      <c r="L247" s="35">
        <f>+'Prog 05'!L45</f>
        <v>0</v>
      </c>
      <c r="M247" s="334">
        <f t="shared" si="57"/>
        <v>0</v>
      </c>
      <c r="N247" s="35">
        <f>+'Prog 05'!N45</f>
        <v>0</v>
      </c>
      <c r="O247" s="334">
        <f t="shared" si="58"/>
        <v>0</v>
      </c>
      <c r="P247" s="35">
        <f>+'Prog 05'!P45</f>
        <v>0</v>
      </c>
      <c r="Q247" s="35">
        <f ca="1">+'Prog 05'!Q45</f>
        <v>0</v>
      </c>
      <c r="R247" s="334" t="str">
        <f t="shared" ca="1" si="56"/>
        <v>0.00%</v>
      </c>
      <c r="T247" s="122"/>
      <c r="V247" s="144"/>
      <c r="W247" s="138"/>
      <c r="X247" s="138"/>
      <c r="Y247" s="138"/>
      <c r="Z247" s="142"/>
    </row>
    <row r="248" spans="2:26" ht="15" hidden="1" customHeight="1" outlineLevel="2" x14ac:dyDescent="0.25">
      <c r="B248" s="586"/>
      <c r="C248" s="32"/>
      <c r="D248" s="40" t="s">
        <v>172</v>
      </c>
      <c r="E248" s="616"/>
      <c r="F248" s="34" t="str">
        <f t="shared" si="60"/>
        <v>33.02.011</v>
      </c>
      <c r="G248" s="588" t="s">
        <v>730</v>
      </c>
      <c r="H248" s="35">
        <f>+'Prog 05'!H46</f>
        <v>0</v>
      </c>
      <c r="I248" s="35">
        <f>+'Prog 05'!I46</f>
        <v>0</v>
      </c>
      <c r="J248" s="35">
        <f ca="1">+'Prog 05'!J46</f>
        <v>0</v>
      </c>
      <c r="K248" s="334" t="str">
        <f t="shared" ca="1" si="53"/>
        <v>0.00%</v>
      </c>
      <c r="L248" s="35">
        <f>+'Prog 05'!L46</f>
        <v>0</v>
      </c>
      <c r="M248" s="334">
        <f t="shared" si="57"/>
        <v>0</v>
      </c>
      <c r="N248" s="35">
        <f>+'Prog 05'!N46</f>
        <v>0</v>
      </c>
      <c r="O248" s="334">
        <f t="shared" si="58"/>
        <v>0</v>
      </c>
      <c r="P248" s="35">
        <f>+'Prog 05'!P46</f>
        <v>0</v>
      </c>
      <c r="Q248" s="35">
        <f ca="1">+'Prog 05'!Q46</f>
        <v>0</v>
      </c>
      <c r="R248" s="334" t="str">
        <f t="shared" ca="1" si="56"/>
        <v>0.00%</v>
      </c>
      <c r="T248" s="122"/>
      <c r="V248" s="144"/>
      <c r="W248" s="138"/>
      <c r="X248" s="138"/>
      <c r="Y248" s="138"/>
      <c r="Z248" s="142"/>
    </row>
    <row r="249" spans="2:26" ht="15" hidden="1" customHeight="1" outlineLevel="2" x14ac:dyDescent="0.25">
      <c r="B249" s="586"/>
      <c r="C249" s="32"/>
      <c r="D249" s="40" t="s">
        <v>173</v>
      </c>
      <c r="E249" s="616"/>
      <c r="F249" s="34" t="str">
        <f t="shared" si="60"/>
        <v>33.02.012</v>
      </c>
      <c r="G249" s="588" t="s">
        <v>731</v>
      </c>
      <c r="H249" s="35">
        <f>+'Prog 05'!H47</f>
        <v>0</v>
      </c>
      <c r="I249" s="35">
        <f>+'Prog 05'!I47</f>
        <v>235000</v>
      </c>
      <c r="J249" s="35">
        <f ca="1">+'Prog 05'!J47</f>
        <v>0</v>
      </c>
      <c r="K249" s="334">
        <f t="shared" ca="1" si="53"/>
        <v>0</v>
      </c>
      <c r="L249" s="35">
        <f>+'Prog 05'!L47</f>
        <v>0</v>
      </c>
      <c r="M249" s="334">
        <f t="shared" si="57"/>
        <v>0</v>
      </c>
      <c r="N249" s="35">
        <f>+'Prog 05'!N47</f>
        <v>0</v>
      </c>
      <c r="O249" s="334">
        <f t="shared" si="58"/>
        <v>0</v>
      </c>
      <c r="P249" s="35">
        <f>+'Prog 05'!P47</f>
        <v>0</v>
      </c>
      <c r="Q249" s="35">
        <f ca="1">+'Prog 05'!Q47</f>
        <v>0</v>
      </c>
      <c r="R249" s="334" t="str">
        <f t="shared" ca="1" si="56"/>
        <v>0.00%</v>
      </c>
      <c r="T249" s="122"/>
      <c r="V249" s="144"/>
      <c r="W249" s="138"/>
      <c r="X249" s="138"/>
      <c r="Y249" s="138"/>
      <c r="Z249" s="142"/>
    </row>
    <row r="250" spans="2:26" ht="15" hidden="1" customHeight="1" outlineLevel="2" x14ac:dyDescent="0.25">
      <c r="B250" s="586"/>
      <c r="C250" s="32"/>
      <c r="D250" s="40" t="s">
        <v>174</v>
      </c>
      <c r="E250" s="616"/>
      <c r="F250" s="34" t="str">
        <f t="shared" si="60"/>
        <v>33.02.013</v>
      </c>
      <c r="G250" s="588" t="s">
        <v>88</v>
      </c>
      <c r="H250" s="35">
        <f>+'Prog 05'!H48</f>
        <v>0</v>
      </c>
      <c r="I250" s="35">
        <f>+'Prog 05'!I48</f>
        <v>5124472</v>
      </c>
      <c r="J250" s="35">
        <f ca="1">+'Prog 05'!J48</f>
        <v>0</v>
      </c>
      <c r="K250" s="334">
        <f t="shared" ca="1" si="53"/>
        <v>0</v>
      </c>
      <c r="L250" s="35">
        <f>+'Prog 05'!L48</f>
        <v>0</v>
      </c>
      <c r="M250" s="334">
        <f t="shared" si="57"/>
        <v>0</v>
      </c>
      <c r="N250" s="35">
        <f>+'Prog 05'!N48</f>
        <v>0</v>
      </c>
      <c r="O250" s="334">
        <f t="shared" si="58"/>
        <v>0</v>
      </c>
      <c r="P250" s="35">
        <f>+'Prog 05'!P48</f>
        <v>0</v>
      </c>
      <c r="Q250" s="35">
        <f ca="1">+'Prog 05'!Q48</f>
        <v>0</v>
      </c>
      <c r="R250" s="334" t="str">
        <f t="shared" ca="1" si="56"/>
        <v>0.00%</v>
      </c>
      <c r="T250" s="122"/>
      <c r="V250" s="144"/>
      <c r="W250" s="138"/>
      <c r="X250" s="138"/>
      <c r="Y250" s="138"/>
      <c r="Z250" s="142"/>
    </row>
    <row r="251" spans="2:26" ht="15" hidden="1" customHeight="1" outlineLevel="2" x14ac:dyDescent="0.25">
      <c r="B251" s="586"/>
      <c r="C251" s="32"/>
      <c r="D251" s="40" t="s">
        <v>189</v>
      </c>
      <c r="E251" s="616"/>
      <c r="F251" s="34" t="str">
        <f t="shared" si="60"/>
        <v>33.02.014</v>
      </c>
      <c r="G251" s="588" t="s">
        <v>732</v>
      </c>
      <c r="H251" s="35">
        <f>+'Prog 05'!H49</f>
        <v>0</v>
      </c>
      <c r="I251" s="35">
        <f>+'Prog 05'!I49</f>
        <v>0</v>
      </c>
      <c r="J251" s="35">
        <f ca="1">+'Prog 05'!J49</f>
        <v>0</v>
      </c>
      <c r="K251" s="334" t="str">
        <f t="shared" ca="1" si="53"/>
        <v>0.00%</v>
      </c>
      <c r="L251" s="35">
        <f>+'Prog 05'!L49</f>
        <v>0</v>
      </c>
      <c r="M251" s="334">
        <f t="shared" si="57"/>
        <v>0</v>
      </c>
      <c r="N251" s="35">
        <f>+'Prog 05'!N49</f>
        <v>0</v>
      </c>
      <c r="O251" s="334">
        <f t="shared" si="58"/>
        <v>0</v>
      </c>
      <c r="P251" s="35">
        <f>+'Prog 05'!P49</f>
        <v>0</v>
      </c>
      <c r="Q251" s="35">
        <f ca="1">+'Prog 05'!Q49</f>
        <v>0</v>
      </c>
      <c r="R251" s="334" t="str">
        <f t="shared" ca="1" si="56"/>
        <v>0.00%</v>
      </c>
      <c r="T251" s="122"/>
      <c r="V251" s="144"/>
      <c r="W251" s="138"/>
      <c r="X251" s="138"/>
      <c r="Y251" s="138"/>
      <c r="Z251" s="142"/>
    </row>
    <row r="252" spans="2:26" ht="15" hidden="1" customHeight="1" outlineLevel="2" x14ac:dyDescent="0.25">
      <c r="B252" s="586"/>
      <c r="C252" s="32"/>
      <c r="D252" s="40" t="s">
        <v>190</v>
      </c>
      <c r="E252" s="616"/>
      <c r="F252" s="34" t="str">
        <f t="shared" si="60"/>
        <v>33.02.015</v>
      </c>
      <c r="G252" s="588" t="s">
        <v>733</v>
      </c>
      <c r="H252" s="35">
        <f>+'Prog 05'!H50</f>
        <v>0</v>
      </c>
      <c r="I252" s="35">
        <f>+'Prog 05'!I50</f>
        <v>0</v>
      </c>
      <c r="J252" s="35">
        <f ca="1">+'Prog 05'!J50</f>
        <v>0</v>
      </c>
      <c r="K252" s="334" t="str">
        <f t="shared" ca="1" si="53"/>
        <v>0.00%</v>
      </c>
      <c r="L252" s="35">
        <f>+'Prog 05'!L50</f>
        <v>0</v>
      </c>
      <c r="M252" s="334">
        <f t="shared" si="57"/>
        <v>0</v>
      </c>
      <c r="N252" s="35">
        <f>+'Prog 05'!N50</f>
        <v>0</v>
      </c>
      <c r="O252" s="334">
        <f t="shared" si="58"/>
        <v>0</v>
      </c>
      <c r="P252" s="35">
        <f>+'Prog 05'!P50</f>
        <v>0</v>
      </c>
      <c r="Q252" s="35">
        <f ca="1">+'Prog 05'!Q50</f>
        <v>0</v>
      </c>
      <c r="R252" s="334" t="str">
        <f t="shared" ca="1" si="56"/>
        <v>0.00%</v>
      </c>
      <c r="T252" s="122"/>
      <c r="V252" s="144"/>
      <c r="W252" s="138"/>
      <c r="X252" s="138"/>
      <c r="Y252" s="138"/>
      <c r="Z252" s="142"/>
    </row>
    <row r="253" spans="2:26" ht="15" hidden="1" customHeight="1" outlineLevel="2" x14ac:dyDescent="0.25">
      <c r="B253" s="586"/>
      <c r="C253" s="32"/>
      <c r="D253" s="43" t="s">
        <v>224</v>
      </c>
      <c r="E253" s="616"/>
      <c r="F253" s="34" t="str">
        <f t="shared" si="60"/>
        <v>33.02.016</v>
      </c>
      <c r="G253" s="588" t="s">
        <v>734</v>
      </c>
      <c r="H253" s="35">
        <v>0</v>
      </c>
      <c r="I253" s="35">
        <f>+'Prog 05'!I51</f>
        <v>0</v>
      </c>
      <c r="J253" s="35">
        <v>0</v>
      </c>
      <c r="K253" s="334" t="str">
        <f t="shared" si="53"/>
        <v>0.00%</v>
      </c>
      <c r="L253" s="35">
        <v>0</v>
      </c>
      <c r="M253" s="334">
        <f t="shared" si="57"/>
        <v>0</v>
      </c>
      <c r="N253" s="35">
        <v>0</v>
      </c>
      <c r="O253" s="334">
        <f t="shared" si="58"/>
        <v>0</v>
      </c>
      <c r="P253" s="35">
        <f>+'Prog 05'!P51</f>
        <v>0</v>
      </c>
      <c r="Q253" s="35">
        <f ca="1">+'Prog 05'!Q51</f>
        <v>0</v>
      </c>
      <c r="R253" s="334" t="str">
        <f t="shared" ca="1" si="56"/>
        <v>0.00%</v>
      </c>
      <c r="T253" s="122"/>
      <c r="V253" s="144"/>
      <c r="W253" s="138"/>
      <c r="X253" s="138"/>
      <c r="Y253" s="138"/>
      <c r="Z253" s="142"/>
    </row>
    <row r="254" spans="2:26" ht="15" hidden="1" customHeight="1" outlineLevel="2" x14ac:dyDescent="0.25">
      <c r="B254" s="586"/>
      <c r="C254" s="32"/>
      <c r="D254" s="43" t="s">
        <v>191</v>
      </c>
      <c r="E254" s="616"/>
      <c r="F254" s="34" t="str">
        <f t="shared" si="60"/>
        <v>33.02.017</v>
      </c>
      <c r="G254" s="588" t="s">
        <v>735</v>
      </c>
      <c r="H254" s="35">
        <v>0</v>
      </c>
      <c r="I254" s="35">
        <v>0</v>
      </c>
      <c r="J254" s="35">
        <v>0</v>
      </c>
      <c r="K254" s="334" t="str">
        <f t="shared" si="53"/>
        <v>0.00%</v>
      </c>
      <c r="L254" s="35">
        <v>0</v>
      </c>
      <c r="M254" s="334">
        <f t="shared" si="57"/>
        <v>0</v>
      </c>
      <c r="N254" s="35">
        <v>0</v>
      </c>
      <c r="O254" s="334">
        <f t="shared" si="58"/>
        <v>0</v>
      </c>
      <c r="P254" s="35">
        <f>+'Prog 05'!P52</f>
        <v>0</v>
      </c>
      <c r="Q254" s="35">
        <f ca="1">+'Prog 05'!Q52</f>
        <v>0</v>
      </c>
      <c r="R254" s="334" t="str">
        <f t="shared" ca="1" si="56"/>
        <v>0.00%</v>
      </c>
      <c r="T254" s="122"/>
      <c r="V254" s="144"/>
      <c r="W254" s="138"/>
      <c r="X254" s="138"/>
      <c r="Y254" s="138"/>
      <c r="Z254" s="142"/>
    </row>
    <row r="255" spans="2:26" ht="15" hidden="1" customHeight="1" outlineLevel="2" x14ac:dyDescent="0.25">
      <c r="B255" s="586"/>
      <c r="C255" s="32"/>
      <c r="D255" s="43" t="s">
        <v>194</v>
      </c>
      <c r="E255" s="616"/>
      <c r="F255" s="34" t="str">
        <f t="shared" si="60"/>
        <v>33.02.025</v>
      </c>
      <c r="G255" s="588" t="str">
        <f>+'Prog 05'!G53</f>
        <v>Gobiernos Regionales - Programas de Inversión</v>
      </c>
      <c r="H255" s="35">
        <f>+'Prog 05'!H53</f>
        <v>0</v>
      </c>
      <c r="I255" s="35">
        <f>+'Prog 05'!I53</f>
        <v>0</v>
      </c>
      <c r="J255" s="35">
        <f ca="1">+'Prog 05'!J53</f>
        <v>0</v>
      </c>
      <c r="K255" s="334" t="str">
        <f t="shared" ca="1" si="53"/>
        <v>0.00%</v>
      </c>
      <c r="L255" s="35">
        <f>+'Prog 05'!L53</f>
        <v>0</v>
      </c>
      <c r="M255" s="334">
        <f t="shared" si="57"/>
        <v>0</v>
      </c>
      <c r="N255" s="35">
        <f>+I255-L255</f>
        <v>0</v>
      </c>
      <c r="O255" s="334">
        <f t="shared" si="58"/>
        <v>0</v>
      </c>
      <c r="P255" s="35">
        <f>+'Prog 05'!P53</f>
        <v>0</v>
      </c>
      <c r="Q255" s="35">
        <f>+'Prog 05'!Q53</f>
        <v>0</v>
      </c>
      <c r="R255" s="334" t="str">
        <f t="shared" si="56"/>
        <v>0.00%</v>
      </c>
      <c r="T255" s="122"/>
      <c r="V255" s="144"/>
      <c r="W255" s="138"/>
      <c r="X255" s="138"/>
      <c r="Y255" s="138"/>
      <c r="Z255" s="142"/>
    </row>
    <row r="256" spans="2:26" ht="15" hidden="1" customHeight="1" outlineLevel="2" x14ac:dyDescent="0.25">
      <c r="B256" s="586"/>
      <c r="C256" s="32"/>
      <c r="D256" s="43" t="s">
        <v>764</v>
      </c>
      <c r="E256" s="616"/>
      <c r="F256" s="34" t="str">
        <f t="shared" si="60"/>
        <v>33.02.018</v>
      </c>
      <c r="G256" s="588" t="s">
        <v>482</v>
      </c>
      <c r="H256" s="35">
        <v>0</v>
      </c>
      <c r="I256" s="35">
        <f>+'Prog 03'!I40</f>
        <v>0</v>
      </c>
      <c r="J256" s="35">
        <f ca="1">+'Prog 03'!J40</f>
        <v>0</v>
      </c>
      <c r="K256" s="334" t="str">
        <f t="shared" ref="K256:K307" ca="1" si="61">IFERROR(J256/I256,"0.00%")</f>
        <v>0.00%</v>
      </c>
      <c r="L256" s="35">
        <f>+'Prog 03'!L40</f>
        <v>0</v>
      </c>
      <c r="M256" s="334">
        <f t="shared" si="57"/>
        <v>0</v>
      </c>
      <c r="N256" s="35">
        <f>+'Prog 03'!N40</f>
        <v>0</v>
      </c>
      <c r="O256" s="334">
        <f t="shared" si="58"/>
        <v>0</v>
      </c>
      <c r="P256" s="35">
        <f>+'Prog 03'!P40</f>
        <v>0</v>
      </c>
      <c r="Q256" s="35">
        <f>+'Prog 03'!Q40</f>
        <v>0</v>
      </c>
      <c r="R256" s="334" t="str">
        <f t="shared" si="56"/>
        <v>0.00%</v>
      </c>
      <c r="T256" s="122"/>
      <c r="V256" s="144"/>
      <c r="W256" s="138"/>
      <c r="X256" s="138"/>
      <c r="Y256" s="138"/>
      <c r="Z256" s="142"/>
    </row>
    <row r="257" spans="2:44" ht="15" hidden="1" customHeight="1" outlineLevel="2" x14ac:dyDescent="0.25">
      <c r="B257" s="586"/>
      <c r="C257" s="32"/>
      <c r="D257" s="43" t="s">
        <v>823</v>
      </c>
      <c r="E257" s="616"/>
      <c r="F257" s="34" t="str">
        <f t="shared" si="60"/>
        <v>33.02.100</v>
      </c>
      <c r="G257" s="588" t="s">
        <v>885</v>
      </c>
      <c r="H257" s="35">
        <f>+'Prog 01'!I202</f>
        <v>0</v>
      </c>
      <c r="I257" s="35">
        <f>'Prog 01'!J202</f>
        <v>0</v>
      </c>
      <c r="J257" s="35">
        <f ca="1">'Prog 01'!K202</f>
        <v>0</v>
      </c>
      <c r="K257" s="334" t="str">
        <f t="shared" ca="1" si="61"/>
        <v>0.00%</v>
      </c>
      <c r="L257" s="35">
        <f>'Prog 01'!M202</f>
        <v>0</v>
      </c>
      <c r="M257" s="334">
        <f t="shared" si="57"/>
        <v>0</v>
      </c>
      <c r="N257" s="35">
        <f>+I257-L257</f>
        <v>0</v>
      </c>
      <c r="O257" s="334">
        <f t="shared" si="58"/>
        <v>0</v>
      </c>
      <c r="P257" s="35">
        <v>0</v>
      </c>
      <c r="Q257" s="35">
        <v>0</v>
      </c>
      <c r="R257" s="334" t="str">
        <f t="shared" si="56"/>
        <v>0.00%</v>
      </c>
      <c r="T257" s="122"/>
      <c r="V257" s="144"/>
      <c r="W257" s="138"/>
      <c r="X257" s="138"/>
      <c r="Y257" s="138"/>
      <c r="Z257" s="142"/>
    </row>
    <row r="258" spans="2:44" ht="15" hidden="1" customHeight="1" outlineLevel="2" x14ac:dyDescent="0.25">
      <c r="B258" s="586"/>
      <c r="C258" s="32"/>
      <c r="D258" s="40" t="s">
        <v>685</v>
      </c>
      <c r="E258" s="616"/>
      <c r="F258" s="34" t="str">
        <f t="shared" si="60"/>
        <v>33.02.107</v>
      </c>
      <c r="G258" s="588" t="s">
        <v>629</v>
      </c>
      <c r="H258" s="35">
        <v>0</v>
      </c>
      <c r="I258" s="35">
        <v>0</v>
      </c>
      <c r="J258" s="35">
        <v>0</v>
      </c>
      <c r="K258" s="334" t="str">
        <f t="shared" si="61"/>
        <v>0.00%</v>
      </c>
      <c r="L258" s="35">
        <v>0</v>
      </c>
      <c r="M258" s="334">
        <f t="shared" si="57"/>
        <v>0</v>
      </c>
      <c r="N258" s="35">
        <v>0</v>
      </c>
      <c r="O258" s="334">
        <f t="shared" si="58"/>
        <v>0</v>
      </c>
      <c r="P258" s="35">
        <f>+'Prog 05'!P54</f>
        <v>0</v>
      </c>
      <c r="Q258" s="35">
        <f ca="1">+'Prog 05'!Q54</f>
        <v>0</v>
      </c>
      <c r="R258" s="334" t="str">
        <f t="shared" ca="1" si="56"/>
        <v>0.00%</v>
      </c>
      <c r="T258" s="122"/>
      <c r="V258" s="144"/>
      <c r="W258" s="138"/>
      <c r="X258" s="138"/>
      <c r="Y258" s="138"/>
      <c r="Z258" s="142"/>
    </row>
    <row r="259" spans="2:44" ht="15" hidden="1" customHeight="1" outlineLevel="2" x14ac:dyDescent="0.25">
      <c r="B259" s="586"/>
      <c r="C259" s="32"/>
      <c r="D259" s="40" t="s">
        <v>686</v>
      </c>
      <c r="E259" s="616"/>
      <c r="F259" s="34" t="str">
        <f t="shared" si="60"/>
        <v>33.02.914</v>
      </c>
      <c r="G259" s="588" t="s">
        <v>509</v>
      </c>
      <c r="H259" s="35">
        <v>0</v>
      </c>
      <c r="I259" s="35">
        <v>0</v>
      </c>
      <c r="J259" s="35">
        <v>0</v>
      </c>
      <c r="K259" s="334" t="str">
        <f t="shared" si="61"/>
        <v>0.00%</v>
      </c>
      <c r="L259" s="35">
        <v>0</v>
      </c>
      <c r="M259" s="334">
        <f t="shared" si="57"/>
        <v>0</v>
      </c>
      <c r="N259" s="35">
        <v>0</v>
      </c>
      <c r="O259" s="334">
        <f t="shared" si="58"/>
        <v>0</v>
      </c>
      <c r="P259" s="35">
        <f>+'Prog 05'!P55</f>
        <v>0</v>
      </c>
      <c r="Q259" s="35">
        <f ca="1">+'Prog 05'!Q55</f>
        <v>0</v>
      </c>
      <c r="R259" s="334" t="str">
        <f t="shared" ca="1" si="56"/>
        <v>0.00%</v>
      </c>
      <c r="T259" s="122"/>
      <c r="V259" s="144"/>
      <c r="W259" s="138"/>
      <c r="X259" s="138"/>
      <c r="Y259" s="138"/>
      <c r="Z259" s="142"/>
    </row>
    <row r="260" spans="2:44" ht="15" hidden="1" customHeight="1" outlineLevel="2" x14ac:dyDescent="0.25">
      <c r="B260" s="586"/>
      <c r="C260" s="32"/>
      <c r="D260" s="40" t="s">
        <v>687</v>
      </c>
      <c r="E260" s="616"/>
      <c r="F260" s="34" t="str">
        <f t="shared" si="60"/>
        <v>33.02.916</v>
      </c>
      <c r="G260" s="588" t="s">
        <v>307</v>
      </c>
      <c r="H260" s="35">
        <v>0</v>
      </c>
      <c r="I260" s="35">
        <v>0</v>
      </c>
      <c r="J260" s="35">
        <v>0</v>
      </c>
      <c r="K260" s="334" t="str">
        <f t="shared" si="61"/>
        <v>0.00%</v>
      </c>
      <c r="L260" s="35">
        <v>0</v>
      </c>
      <c r="M260" s="334">
        <f t="shared" si="57"/>
        <v>0</v>
      </c>
      <c r="N260" s="35">
        <v>0</v>
      </c>
      <c r="O260" s="334">
        <f t="shared" si="58"/>
        <v>0</v>
      </c>
      <c r="P260" s="35">
        <f>+'Prog 05'!P56</f>
        <v>0</v>
      </c>
      <c r="Q260" s="35">
        <f ca="1">+'Prog 05'!Q56</f>
        <v>0</v>
      </c>
      <c r="R260" s="334" t="str">
        <f t="shared" ca="1" si="56"/>
        <v>0.00%</v>
      </c>
      <c r="T260" s="122"/>
      <c r="V260" s="144"/>
      <c r="W260" s="138"/>
      <c r="X260" s="138"/>
      <c r="Y260" s="138"/>
      <c r="Z260" s="142"/>
    </row>
    <row r="261" spans="2:44" ht="15" hidden="1" customHeight="1" outlineLevel="2" x14ac:dyDescent="0.25">
      <c r="B261" s="586"/>
      <c r="C261" s="32"/>
      <c r="D261" s="43" t="s">
        <v>630</v>
      </c>
      <c r="E261" s="616"/>
      <c r="F261" s="34" t="str">
        <f t="shared" si="60"/>
        <v>33.02.020</v>
      </c>
      <c r="G261" s="588" t="s">
        <v>698</v>
      </c>
      <c r="H261" s="35">
        <v>0</v>
      </c>
      <c r="I261" s="35">
        <f>'Prog 05'!I57</f>
        <v>0</v>
      </c>
      <c r="J261" s="35">
        <f ca="1">+'Prog 05'!J57</f>
        <v>0</v>
      </c>
      <c r="K261" s="334" t="str">
        <f t="shared" ca="1" si="61"/>
        <v>0.00%</v>
      </c>
      <c r="L261" s="35">
        <f>+'Prog 05'!L57</f>
        <v>0</v>
      </c>
      <c r="M261" s="334">
        <f t="shared" si="57"/>
        <v>0</v>
      </c>
      <c r="N261" s="35">
        <f>+'Prog 05'!N57</f>
        <v>0</v>
      </c>
      <c r="O261" s="334">
        <f t="shared" si="58"/>
        <v>0</v>
      </c>
      <c r="P261" s="35">
        <f>+'Prog 03'!P41+'Prog 05'!P57</f>
        <v>0</v>
      </c>
      <c r="Q261" s="35">
        <f ca="1">+'Prog 05'!Q57</f>
        <v>0</v>
      </c>
      <c r="R261" s="334" t="str">
        <f t="shared" ca="1" si="56"/>
        <v>0.00%</v>
      </c>
      <c r="T261" s="122"/>
      <c r="V261" s="144"/>
      <c r="W261" s="138"/>
      <c r="X261" s="138"/>
      <c r="Y261" s="138"/>
      <c r="Z261" s="142"/>
    </row>
    <row r="262" spans="2:44" s="58" customFormat="1" ht="15" hidden="1" customHeight="1" outlineLevel="1" x14ac:dyDescent="0.25">
      <c r="B262" s="586"/>
      <c r="C262" s="38" t="s">
        <v>165</v>
      </c>
      <c r="D262" s="33"/>
      <c r="E262" s="34"/>
      <c r="F262" s="34"/>
      <c r="G262" s="587" t="s">
        <v>87</v>
      </c>
      <c r="H262" s="186">
        <f>+H263+H264+H269+H276+H277+H278+H279+H280+H281+H282+H283+H285+H286+H287+H288+H289+H290+H291+H292+H293+H294+H295+H296+H284</f>
        <v>296545699</v>
      </c>
      <c r="I262" s="186">
        <f>+I263+I264+I269+I276+I277+I278+I279+I280+I281+I282+I283+I285+I286+I287+I288+I289+I290+I291+I292+I293+I294+I295+I296+I284</f>
        <v>235086621</v>
      </c>
      <c r="J262" s="35">
        <f ca="1">+J263+J264+J269+J276+J277+J278+J279+J280+J281+J282+J283+J285+J286+J287+J288+J289+J290+J291+J292+J293+J294+J295+J296+J284</f>
        <v>13566915.027999999</v>
      </c>
      <c r="K262" s="334">
        <f t="shared" ca="1" si="61"/>
        <v>5.7710281300950766E-2</v>
      </c>
      <c r="L262" s="35">
        <f>+L263+L264+L269+L276+L277+L278+L279+L280+L281+L282+L283+L285+L286+L287+L288+L289+L290+L291+L292+L293+L294+L295+L296+L284</f>
        <v>14458398.561000001</v>
      </c>
      <c r="M262" s="334">
        <f t="shared" si="57"/>
        <v>6.150243046370555E-2</v>
      </c>
      <c r="N262" s="35">
        <f>+N263+N264+N269+N276+N277+N278+N279+N280+N281+N282+N283+N285+N286+N287+N288+N289+N290+N291+N292+N293+N294+N295+N296+N284</f>
        <v>220628222.43900001</v>
      </c>
      <c r="O262" s="334">
        <f t="shared" si="58"/>
        <v>0.93849756953629448</v>
      </c>
      <c r="P262" s="35">
        <f>SUM(P276:P296)+P263+P264+P269</f>
        <v>283187626.46800005</v>
      </c>
      <c r="Q262" s="35">
        <f ca="1">SUM(Q276:Q296)+Q263+Q264+Q269</f>
        <v>25003162.689013999</v>
      </c>
      <c r="R262" s="334">
        <f t="shared" ca="1" si="56"/>
        <v>8.8291861480181352E-2</v>
      </c>
      <c r="S262" s="26"/>
      <c r="T262" s="122"/>
      <c r="U262" s="139"/>
      <c r="V262" s="144"/>
      <c r="W262" s="138"/>
      <c r="X262" s="180"/>
      <c r="Y262" s="180"/>
      <c r="Z262" s="181"/>
    </row>
    <row r="263" spans="2:44" ht="15" hidden="1" customHeight="1" outlineLevel="2" x14ac:dyDescent="0.25">
      <c r="B263" s="586"/>
      <c r="C263" s="32"/>
      <c r="D263" s="40" t="s">
        <v>167</v>
      </c>
      <c r="E263" s="34"/>
      <c r="F263" s="34" t="str">
        <f>+CONCATENATE($B$236,"",$C$262,"",D263,"",E263)</f>
        <v>33.03.001</v>
      </c>
      <c r="G263" s="587" t="s">
        <v>243</v>
      </c>
      <c r="H263" s="186">
        <f>+'Prog 05'!H59</f>
        <v>82544640</v>
      </c>
      <c r="I263" s="186">
        <f>+'Prog 05'!I59</f>
        <v>41272320</v>
      </c>
      <c r="J263" s="186">
        <f ca="1">+'Prog 05'!J59</f>
        <v>0</v>
      </c>
      <c r="K263" s="334">
        <f t="shared" ca="1" si="61"/>
        <v>0</v>
      </c>
      <c r="L263" s="186">
        <f>+'Prog 05'!L59</f>
        <v>0</v>
      </c>
      <c r="M263" s="334">
        <f t="shared" si="57"/>
        <v>0</v>
      </c>
      <c r="N263" s="186">
        <f>+'Prog 05'!N59</f>
        <v>41272320</v>
      </c>
      <c r="O263" s="334">
        <f t="shared" si="58"/>
        <v>1</v>
      </c>
      <c r="P263" s="35">
        <f>+'Prog 05'!P59</f>
        <v>42123040.686000004</v>
      </c>
      <c r="Q263" s="35">
        <f>+'Prog 05'!Q59</f>
        <v>0</v>
      </c>
      <c r="R263" s="334">
        <f t="shared" si="56"/>
        <v>0</v>
      </c>
      <c r="T263" s="122"/>
      <c r="V263" s="144"/>
      <c r="W263" s="138"/>
      <c r="X263" s="138"/>
      <c r="Y263" s="138"/>
      <c r="Z263" s="142"/>
    </row>
    <row r="264" spans="2:44" s="58" customFormat="1" ht="15" hidden="1" customHeight="1" outlineLevel="2" x14ac:dyDescent="0.25">
      <c r="B264" s="586"/>
      <c r="C264" s="32"/>
      <c r="D264" s="40" t="s">
        <v>178</v>
      </c>
      <c r="E264" s="34"/>
      <c r="F264" s="34"/>
      <c r="G264" s="587" t="s">
        <v>821</v>
      </c>
      <c r="H264" s="186">
        <f>SUM(H265:H268)</f>
        <v>95697781</v>
      </c>
      <c r="I264" s="186">
        <f t="shared" ref="I264:Q264" si="62">SUM(I265:I268)</f>
        <v>86065927</v>
      </c>
      <c r="J264" s="186">
        <f ca="1">SUM(J265:J268)</f>
        <v>11134674.191</v>
      </c>
      <c r="K264" s="334">
        <f t="shared" ca="1" si="61"/>
        <v>0.12937377867317923</v>
      </c>
      <c r="L264" s="186">
        <f t="shared" si="62"/>
        <v>11189334.408</v>
      </c>
      <c r="M264" s="334">
        <f t="shared" si="57"/>
        <v>0.13000887573081041</v>
      </c>
      <c r="N264" s="186">
        <f t="shared" si="62"/>
        <v>74876592.592000008</v>
      </c>
      <c r="O264" s="334">
        <f t="shared" si="58"/>
        <v>0.86999112426918968</v>
      </c>
      <c r="P264" s="35">
        <f t="shared" si="62"/>
        <v>98982010.986000001</v>
      </c>
      <c r="Q264" s="35">
        <f t="shared" si="62"/>
        <v>23323405.706440002</v>
      </c>
      <c r="R264" s="334">
        <f t="shared" si="56"/>
        <v>0.23563277280493786</v>
      </c>
      <c r="S264" s="26"/>
      <c r="T264" s="122"/>
      <c r="U264" s="139"/>
      <c r="V264" s="144"/>
      <c r="W264" s="138"/>
      <c r="X264" s="180"/>
      <c r="Y264" s="180"/>
      <c r="Z264" s="181"/>
    </row>
    <row r="265" spans="2:44" ht="15" hidden="1" customHeight="1" outlineLevel="2" x14ac:dyDescent="0.25">
      <c r="B265" s="586"/>
      <c r="C265" s="32"/>
      <c r="D265" s="43"/>
      <c r="E265" s="34"/>
      <c r="F265" s="83" t="s">
        <v>651</v>
      </c>
      <c r="G265" s="588" t="str">
        <f>+'Prog 03'!G44</f>
        <v>Tradicional (PMU)</v>
      </c>
      <c r="H265" s="35">
        <f>+'Prog 03'!H44</f>
        <v>44226748</v>
      </c>
      <c r="I265" s="35">
        <f>+'Prog 03'!I44</f>
        <v>44226748</v>
      </c>
      <c r="J265" s="35">
        <f ca="1">+'Prog 03'!J44</f>
        <v>0</v>
      </c>
      <c r="K265" s="334">
        <f t="shared" ca="1" si="61"/>
        <v>0</v>
      </c>
      <c r="L265" s="35">
        <f>+'Prog 03'!L44</f>
        <v>0</v>
      </c>
      <c r="M265" s="334">
        <f t="shared" si="57"/>
        <v>0</v>
      </c>
      <c r="N265" s="35">
        <f>+'Prog 03'!N44</f>
        <v>44226748</v>
      </c>
      <c r="O265" s="334">
        <f t="shared" si="58"/>
        <v>1</v>
      </c>
      <c r="P265" s="35">
        <f>+'Prog 03'!P44</f>
        <v>45417296.072999999</v>
      </c>
      <c r="Q265" s="35">
        <f>+'Prog 03'!Q44</f>
        <v>0</v>
      </c>
      <c r="R265" s="334">
        <f t="shared" si="56"/>
        <v>0</v>
      </c>
      <c r="T265" s="122"/>
      <c r="V265" s="144"/>
      <c r="W265" s="138"/>
      <c r="X265" s="138"/>
      <c r="Y265" s="138"/>
      <c r="Z265" s="142"/>
    </row>
    <row r="266" spans="2:44" ht="15" hidden="1" customHeight="1" outlineLevel="2" x14ac:dyDescent="0.25">
      <c r="B266" s="586"/>
      <c r="C266" s="32"/>
      <c r="D266" s="43"/>
      <c r="E266" s="34"/>
      <c r="F266" s="83" t="s">
        <v>652</v>
      </c>
      <c r="G266" s="588" t="str">
        <f>+'Prog 03'!G45</f>
        <v>Emergencia (PMU)</v>
      </c>
      <c r="H266" s="35">
        <f>+'Prog 03'!H45</f>
        <v>33521770</v>
      </c>
      <c r="I266" s="35">
        <f>+'Prog 03'!I45</f>
        <v>23589916</v>
      </c>
      <c r="J266" s="35">
        <f ca="1">+'Prog 03'!J45</f>
        <v>107808.223</v>
      </c>
      <c r="K266" s="334">
        <f t="shared" ca="1" si="61"/>
        <v>4.5700977909374496E-3</v>
      </c>
      <c r="L266" s="35">
        <f>+'Prog 03'!L45</f>
        <v>162468.44</v>
      </c>
      <c r="M266" s="334">
        <f t="shared" si="57"/>
        <v>6.8871987505169582E-3</v>
      </c>
      <c r="N266" s="35">
        <f>+'Prog 03'!N45</f>
        <v>23427447.559999999</v>
      </c>
      <c r="O266" s="334">
        <f t="shared" si="58"/>
        <v>0.99311280124948298</v>
      </c>
      <c r="P266" s="35">
        <f>+'Prog 03'!P45</f>
        <v>32853098.691</v>
      </c>
      <c r="Q266" s="35">
        <f>+'Prog 03'!Q45</f>
        <v>17825197.872978002</v>
      </c>
      <c r="R266" s="334">
        <f t="shared" si="56"/>
        <v>0.54257280388169771</v>
      </c>
      <c r="T266" s="122"/>
      <c r="V266" s="144"/>
      <c r="W266" s="138"/>
      <c r="X266" s="138"/>
      <c r="Y266" s="138"/>
      <c r="Z266" s="142"/>
    </row>
    <row r="267" spans="2:44" ht="15" hidden="1" customHeight="1" outlineLevel="2" x14ac:dyDescent="0.25">
      <c r="B267" s="586"/>
      <c r="C267" s="32"/>
      <c r="D267" s="43"/>
      <c r="E267" s="34"/>
      <c r="F267" s="83" t="s">
        <v>653</v>
      </c>
      <c r="G267" s="588" t="str">
        <f>+'Prog 03'!G46</f>
        <v>Cuenca del Carbón (PMU)</v>
      </c>
      <c r="H267" s="35">
        <f>+'Prog 03'!H46</f>
        <v>17949263</v>
      </c>
      <c r="I267" s="35">
        <f>+'Prog 03'!I46</f>
        <v>17949263</v>
      </c>
      <c r="J267" s="35">
        <f ca="1">+'Prog 03'!J46</f>
        <v>11026865.968</v>
      </c>
      <c r="K267" s="334">
        <f t="shared" ca="1" si="61"/>
        <v>0.61433530546630244</v>
      </c>
      <c r="L267" s="35">
        <f>+'Prog 03'!L46</f>
        <v>11026865.968</v>
      </c>
      <c r="M267" s="334">
        <f t="shared" si="57"/>
        <v>0.61433530546630244</v>
      </c>
      <c r="N267" s="35">
        <f>+'Prog 03'!N46</f>
        <v>6922397.0319999997</v>
      </c>
      <c r="O267" s="334">
        <f t="shared" si="58"/>
        <v>0.38566469453369756</v>
      </c>
      <c r="P267" s="35">
        <f>+'Prog 03'!P46</f>
        <v>17949262.760000002</v>
      </c>
      <c r="Q267" s="35">
        <f>+'Prog 03'!Q46</f>
        <v>5498207.8334619999</v>
      </c>
      <c r="R267" s="334">
        <f t="shared" si="56"/>
        <v>0.30631942420023939</v>
      </c>
      <c r="T267" s="122"/>
      <c r="V267" s="144"/>
      <c r="W267" s="138"/>
      <c r="X267" s="138"/>
      <c r="Y267" s="138"/>
      <c r="Z267" s="142"/>
    </row>
    <row r="268" spans="2:44" ht="15" hidden="1" customHeight="1" outlineLevel="2" x14ac:dyDescent="0.25">
      <c r="B268" s="586"/>
      <c r="C268" s="32"/>
      <c r="D268" s="43"/>
      <c r="E268" s="34"/>
      <c r="F268" s="83" t="s">
        <v>653</v>
      </c>
      <c r="G268" s="588" t="s">
        <v>758</v>
      </c>
      <c r="H268" s="35">
        <f>+'Prog 03'!H47</f>
        <v>0</v>
      </c>
      <c r="I268" s="35">
        <f>+'Prog 03'!I47</f>
        <v>300000</v>
      </c>
      <c r="J268" s="35">
        <f ca="1">+'Prog 03'!J47</f>
        <v>0</v>
      </c>
      <c r="K268" s="334">
        <f t="shared" ca="1" si="61"/>
        <v>0</v>
      </c>
      <c r="L268" s="35">
        <f>+'Prog 03'!L47</f>
        <v>0</v>
      </c>
      <c r="M268" s="334">
        <f t="shared" si="57"/>
        <v>0</v>
      </c>
      <c r="N268" s="35">
        <f>+'Prog 03'!N47</f>
        <v>300000</v>
      </c>
      <c r="O268" s="334">
        <f t="shared" si="58"/>
        <v>1</v>
      </c>
      <c r="P268" s="35">
        <f>+'Prog 03'!P47</f>
        <v>2762353.4620000003</v>
      </c>
      <c r="Q268" s="35">
        <f>+'Prog 03'!Q47</f>
        <v>0</v>
      </c>
      <c r="R268" s="334">
        <f t="shared" si="56"/>
        <v>0</v>
      </c>
      <c r="T268" s="122"/>
      <c r="V268" s="144"/>
      <c r="W268" s="138"/>
      <c r="X268" s="66"/>
      <c r="Y268" s="66"/>
      <c r="Z268" s="66"/>
      <c r="AA268" s="66"/>
      <c r="AB268" s="66"/>
      <c r="AC268" s="66"/>
      <c r="AD268" s="66"/>
      <c r="AE268" s="66"/>
      <c r="AF268" s="66"/>
      <c r="AG268" s="66"/>
      <c r="AH268" s="66"/>
      <c r="AI268" s="66"/>
      <c r="AJ268" s="66"/>
      <c r="AK268" s="66"/>
      <c r="AL268" s="66"/>
      <c r="AM268" s="66"/>
      <c r="AN268" s="66"/>
      <c r="AO268" s="66"/>
      <c r="AP268" s="66"/>
      <c r="AQ268" s="66"/>
      <c r="AR268" s="66"/>
    </row>
    <row r="269" spans="2:44" s="58" customFormat="1" ht="15" hidden="1" customHeight="1" outlineLevel="2" x14ac:dyDescent="0.25">
      <c r="B269" s="586"/>
      <c r="C269" s="32"/>
      <c r="D269" s="40">
        <v>6</v>
      </c>
      <c r="E269" s="34"/>
      <c r="F269" s="34"/>
      <c r="G269" s="587" t="s">
        <v>822</v>
      </c>
      <c r="H269" s="186">
        <f>SUM(H270:H275)</f>
        <v>56114193</v>
      </c>
      <c r="I269" s="186">
        <f t="shared" ref="I269:Q269" si="63">SUM(I270:I275)</f>
        <v>56114193</v>
      </c>
      <c r="J269" s="186">
        <f ca="1">SUM(J270:J275)</f>
        <v>26805</v>
      </c>
      <c r="K269" s="334">
        <f t="shared" ca="1" si="61"/>
        <v>4.7768663446696985E-4</v>
      </c>
      <c r="L269" s="186">
        <f>SUM(L270:L275)</f>
        <v>26805</v>
      </c>
      <c r="M269" s="334">
        <f t="shared" si="57"/>
        <v>4.7768663446696985E-4</v>
      </c>
      <c r="N269" s="186">
        <f t="shared" si="63"/>
        <v>56087388</v>
      </c>
      <c r="O269" s="334">
        <f t="shared" si="58"/>
        <v>0.99952231336553299</v>
      </c>
      <c r="P269" s="35">
        <f t="shared" si="63"/>
        <v>59528165.83600001</v>
      </c>
      <c r="Q269" s="35">
        <f t="shared" si="63"/>
        <v>1377699.1508220001</v>
      </c>
      <c r="R269" s="334">
        <f t="shared" si="56"/>
        <v>2.3143651941461774E-2</v>
      </c>
      <c r="S269" s="26"/>
      <c r="T269" s="122"/>
      <c r="U269" s="139"/>
      <c r="V269" s="144"/>
      <c r="W269" s="138"/>
      <c r="X269" s="180"/>
      <c r="Y269" s="180"/>
      <c r="Z269" s="181"/>
    </row>
    <row r="270" spans="2:44" ht="15" hidden="1" customHeight="1" outlineLevel="2" x14ac:dyDescent="0.25">
      <c r="B270" s="586"/>
      <c r="C270" s="32"/>
      <c r="D270" s="43"/>
      <c r="E270" s="34"/>
      <c r="F270" s="83" t="s">
        <v>654</v>
      </c>
      <c r="G270" s="588" t="str">
        <f>+'Prog 03'!G49</f>
        <v>Asistencia Técnica (PMB)</v>
      </c>
      <c r="H270" s="35">
        <f>+'Prog 03'!H49</f>
        <v>6527670</v>
      </c>
      <c r="I270" s="35">
        <f>+'Prog 03'!I49</f>
        <v>6527670</v>
      </c>
      <c r="J270" s="35">
        <f ca="1">+'Prog 03'!J49</f>
        <v>16805</v>
      </c>
      <c r="K270" s="334">
        <f t="shared" ca="1" si="61"/>
        <v>2.5744254841313977E-3</v>
      </c>
      <c r="L270" s="35">
        <f>+'Prog 03'!L49</f>
        <v>16805</v>
      </c>
      <c r="M270" s="334">
        <f t="shared" si="57"/>
        <v>2.5744254841313977E-3</v>
      </c>
      <c r="N270" s="35">
        <f>+'Prog 03'!N49</f>
        <v>6510865</v>
      </c>
      <c r="O270" s="334">
        <f t="shared" si="58"/>
        <v>0.99742557451586855</v>
      </c>
      <c r="P270" s="35">
        <f>+'Prog 03'!P49</f>
        <v>7397554.1621480007</v>
      </c>
      <c r="Q270" s="35">
        <f>+'Prog 03'!Q49</f>
        <v>129643.035</v>
      </c>
      <c r="R270" s="334">
        <f t="shared" si="56"/>
        <v>1.7525121433157043E-2</v>
      </c>
      <c r="T270" s="122"/>
      <c r="V270" s="144"/>
      <c r="W270" s="138"/>
      <c r="X270" s="138"/>
      <c r="Y270" s="138"/>
      <c r="Z270" s="142"/>
    </row>
    <row r="271" spans="2:44" ht="15" hidden="1" customHeight="1" outlineLevel="2" x14ac:dyDescent="0.25">
      <c r="B271" s="586"/>
      <c r="C271" s="32"/>
      <c r="D271" s="43"/>
      <c r="E271" s="34"/>
      <c r="F271" s="83" t="s">
        <v>655</v>
      </c>
      <c r="G271" s="588" t="str">
        <f>+'Prog 03'!G50</f>
        <v>Terrenos (PMB)</v>
      </c>
      <c r="H271" s="35">
        <f>+'Prog 03'!H50</f>
        <v>5360526</v>
      </c>
      <c r="I271" s="35">
        <f>+'Prog 03'!I50</f>
        <v>5360526</v>
      </c>
      <c r="J271" s="35">
        <f ca="1">+'Prog 03'!J50</f>
        <v>0</v>
      </c>
      <c r="K271" s="334">
        <f t="shared" ca="1" si="61"/>
        <v>0</v>
      </c>
      <c r="L271" s="35">
        <f>+'Prog 03'!L50</f>
        <v>0</v>
      </c>
      <c r="M271" s="334">
        <f t="shared" si="57"/>
        <v>0</v>
      </c>
      <c r="N271" s="35">
        <f>+'Prog 03'!N50</f>
        <v>5360526</v>
      </c>
      <c r="O271" s="334">
        <f t="shared" si="58"/>
        <v>1</v>
      </c>
      <c r="P271" s="35">
        <f>+'Prog 03'!P50</f>
        <v>3301055.1809880002</v>
      </c>
      <c r="Q271" s="35">
        <f>+'Prog 03'!Q50</f>
        <v>0</v>
      </c>
      <c r="R271" s="334">
        <f t="shared" si="56"/>
        <v>0</v>
      </c>
      <c r="T271" s="122"/>
      <c r="V271" s="144"/>
      <c r="W271" s="138"/>
      <c r="X271" s="138"/>
      <c r="Y271" s="138"/>
      <c r="Z271" s="142"/>
    </row>
    <row r="272" spans="2:44" ht="15" hidden="1" customHeight="1" outlineLevel="2" x14ac:dyDescent="0.25">
      <c r="B272" s="586"/>
      <c r="C272" s="32"/>
      <c r="D272" s="43"/>
      <c r="E272" s="34"/>
      <c r="F272" s="83" t="s">
        <v>656</v>
      </c>
      <c r="G272" s="588" t="str">
        <f>+'Prog 03'!G51</f>
        <v>Otras Transferencias (PMB)</v>
      </c>
      <c r="H272" s="35">
        <f>+'Prog 03'!H51</f>
        <v>2440674</v>
      </c>
      <c r="I272" s="35">
        <f>+'Prog 03'!I51</f>
        <v>2440674</v>
      </c>
      <c r="J272" s="35">
        <f ca="1">+'Prog 03'!J51</f>
        <v>10000</v>
      </c>
      <c r="K272" s="334">
        <f t="shared" ca="1" si="61"/>
        <v>4.0972288802191524E-3</v>
      </c>
      <c r="L272" s="35">
        <f>+'Prog 03'!L51</f>
        <v>10000</v>
      </c>
      <c r="M272" s="334">
        <f t="shared" si="57"/>
        <v>4.0972288802191524E-3</v>
      </c>
      <c r="N272" s="35">
        <f>+'Prog 03'!N51</f>
        <v>2430674</v>
      </c>
      <c r="O272" s="334">
        <f t="shared" si="58"/>
        <v>0.99590277111978087</v>
      </c>
      <c r="P272" s="35">
        <f>+'Prog 03'!P51</f>
        <v>2803139.562502</v>
      </c>
      <c r="Q272" s="35">
        <f>+'Prog 03'!Q51</f>
        <v>0</v>
      </c>
      <c r="R272" s="334">
        <f t="shared" si="56"/>
        <v>0</v>
      </c>
      <c r="T272" s="122"/>
      <c r="V272" s="144"/>
      <c r="W272" s="138"/>
      <c r="X272" s="138"/>
      <c r="Y272" s="138"/>
      <c r="Z272" s="142"/>
    </row>
    <row r="273" spans="2:26" ht="15" hidden="1" customHeight="1" outlineLevel="2" x14ac:dyDescent="0.25">
      <c r="B273" s="586"/>
      <c r="C273" s="32"/>
      <c r="D273" s="43"/>
      <c r="E273" s="34"/>
      <c r="F273" s="83" t="s">
        <v>657</v>
      </c>
      <c r="G273" s="588" t="str">
        <f>+'Prog 03'!G52</f>
        <v>Estudios y diseños (PMB)</v>
      </c>
      <c r="H273" s="35">
        <f>+'Prog 03'!H52</f>
        <v>2266492</v>
      </c>
      <c r="I273" s="35">
        <f>+'Prog 03'!I52</f>
        <v>2266492</v>
      </c>
      <c r="J273" s="35">
        <f ca="1">+'Prog 03'!J52</f>
        <v>0</v>
      </c>
      <c r="K273" s="334">
        <f t="shared" ca="1" si="61"/>
        <v>0</v>
      </c>
      <c r="L273" s="35">
        <f>+'Prog 03'!L52</f>
        <v>0</v>
      </c>
      <c r="M273" s="334">
        <f t="shared" si="57"/>
        <v>0</v>
      </c>
      <c r="N273" s="35">
        <f>+'Prog 03'!N52</f>
        <v>2266492</v>
      </c>
      <c r="O273" s="334">
        <f t="shared" si="58"/>
        <v>1</v>
      </c>
      <c r="P273" s="35">
        <f>+'Prog 03'!P52</f>
        <v>1841602.4596839999</v>
      </c>
      <c r="Q273" s="35">
        <f>+'Prog 03'!Q52</f>
        <v>37720.400000000001</v>
      </c>
      <c r="R273" s="334">
        <f t="shared" ref="R273:R307" si="64">IFERROR(Q273/P273,"0.00%")</f>
        <v>2.0482379246209541E-2</v>
      </c>
      <c r="T273" s="122"/>
      <c r="V273" s="144"/>
      <c r="W273" s="138"/>
      <c r="X273" s="138"/>
      <c r="Y273" s="138"/>
      <c r="Z273" s="142"/>
    </row>
    <row r="274" spans="2:26" ht="15" hidden="1" customHeight="1" outlineLevel="2" x14ac:dyDescent="0.25">
      <c r="B274" s="586"/>
      <c r="C274" s="32"/>
      <c r="D274" s="43"/>
      <c r="E274" s="34"/>
      <c r="F274" s="83" t="s">
        <v>658</v>
      </c>
      <c r="G274" s="588" t="str">
        <f>+'Prog 03'!G53</f>
        <v>IRAL Inversión Regional de Asignación Local (PMB)</v>
      </c>
      <c r="H274" s="35">
        <f>+'Prog 03'!H53</f>
        <v>8048156</v>
      </c>
      <c r="I274" s="35">
        <f>+'Prog 03'!I53</f>
        <v>8048156</v>
      </c>
      <c r="J274" s="35">
        <f ca="1">+'Prog 03'!J53</f>
        <v>0</v>
      </c>
      <c r="K274" s="334">
        <f t="shared" ca="1" si="61"/>
        <v>0</v>
      </c>
      <c r="L274" s="35">
        <f>+'Prog 03'!L53</f>
        <v>0</v>
      </c>
      <c r="M274" s="334">
        <f t="shared" si="57"/>
        <v>0</v>
      </c>
      <c r="N274" s="35">
        <f>+'Prog 03'!N53</f>
        <v>8048156</v>
      </c>
      <c r="O274" s="334">
        <f t="shared" si="58"/>
        <v>1</v>
      </c>
      <c r="P274" s="35">
        <f>+'Prog 03'!P53</f>
        <v>21682743.550000001</v>
      </c>
      <c r="Q274" s="35">
        <f>+'Prog 03'!Q53</f>
        <v>0</v>
      </c>
      <c r="R274" s="334">
        <f t="shared" si="64"/>
        <v>0</v>
      </c>
      <c r="T274" s="122"/>
      <c r="V274" s="144"/>
      <c r="W274" s="138"/>
      <c r="X274" s="138"/>
      <c r="Y274" s="138"/>
      <c r="Z274" s="142"/>
    </row>
    <row r="275" spans="2:26" ht="15" hidden="1" customHeight="1" outlineLevel="2" x14ac:dyDescent="0.25">
      <c r="B275" s="586"/>
      <c r="C275" s="32"/>
      <c r="D275" s="43"/>
      <c r="E275" s="34"/>
      <c r="F275" s="83" t="s">
        <v>659</v>
      </c>
      <c r="G275" s="588" t="str">
        <f>+'Prog 03'!G54</f>
        <v>Obras (PMB)</v>
      </c>
      <c r="H275" s="35">
        <f>+'Prog 03'!H54</f>
        <v>31470675</v>
      </c>
      <c r="I275" s="35">
        <f>+'Prog 03'!I54</f>
        <v>31470675</v>
      </c>
      <c r="J275" s="35">
        <f ca="1">+'Prog 03'!J54</f>
        <v>0</v>
      </c>
      <c r="K275" s="334">
        <f t="shared" ca="1" si="61"/>
        <v>0</v>
      </c>
      <c r="L275" s="35">
        <f>+'Prog 03'!L54</f>
        <v>0</v>
      </c>
      <c r="M275" s="334">
        <f t="shared" ref="M275:M307" si="65">+IFERROR(L275/I275,0)</f>
        <v>0</v>
      </c>
      <c r="N275" s="35">
        <f>+'Prog 03'!N54</f>
        <v>31470675</v>
      </c>
      <c r="O275" s="334">
        <f t="shared" ref="O275:O307" si="66">+IFERROR(N275/I275,0)</f>
        <v>1</v>
      </c>
      <c r="P275" s="35">
        <f>+'Prog 03'!P54</f>
        <v>22502070.920678001</v>
      </c>
      <c r="Q275" s="35">
        <f>+'Prog 03'!Q54</f>
        <v>1210335.7158220001</v>
      </c>
      <c r="R275" s="334">
        <f t="shared" si="64"/>
        <v>5.3787747807237461E-2</v>
      </c>
      <c r="T275" s="122"/>
      <c r="V275" s="144"/>
      <c r="W275" s="138"/>
      <c r="X275" s="138"/>
      <c r="Y275" s="138"/>
      <c r="Z275" s="142"/>
    </row>
    <row r="276" spans="2:26" ht="15" hidden="1" customHeight="1" outlineLevel="2" x14ac:dyDescent="0.25">
      <c r="B276" s="586"/>
      <c r="C276" s="32"/>
      <c r="D276" s="40" t="s">
        <v>171</v>
      </c>
      <c r="E276" s="34"/>
      <c r="F276" s="34" t="str">
        <f>+CONCATENATE($B$236,"",$C$262,"",D276,"",E276)</f>
        <v>33.03.010</v>
      </c>
      <c r="G276" s="588" t="s">
        <v>688</v>
      </c>
      <c r="H276" s="35">
        <v>0</v>
      </c>
      <c r="I276" s="35">
        <v>0</v>
      </c>
      <c r="J276" s="35">
        <v>0</v>
      </c>
      <c r="K276" s="334" t="str">
        <f t="shared" si="61"/>
        <v>0.00%</v>
      </c>
      <c r="L276" s="35">
        <v>0</v>
      </c>
      <c r="M276" s="334">
        <f t="shared" si="65"/>
        <v>0</v>
      </c>
      <c r="N276" s="35">
        <v>0</v>
      </c>
      <c r="O276" s="334">
        <f t="shared" si="66"/>
        <v>0</v>
      </c>
      <c r="P276" s="35">
        <v>0</v>
      </c>
      <c r="Q276" s="35">
        <v>0</v>
      </c>
      <c r="R276" s="334" t="str">
        <f t="shared" si="64"/>
        <v>0.00%</v>
      </c>
      <c r="T276" s="122"/>
      <c r="V276" s="144"/>
      <c r="W276" s="138"/>
      <c r="X276" s="138"/>
      <c r="Y276" s="138"/>
      <c r="Z276" s="142"/>
    </row>
    <row r="277" spans="2:26" ht="15" hidden="1" customHeight="1" outlineLevel="2" x14ac:dyDescent="0.25">
      <c r="B277" s="586"/>
      <c r="C277" s="32"/>
      <c r="D277" s="40" t="s">
        <v>191</v>
      </c>
      <c r="E277" s="34"/>
      <c r="F277" s="34" t="str">
        <f>+CONCATENATE($B$236,"",$C$262,"",D277,"",E277)</f>
        <v>33.03.017</v>
      </c>
      <c r="G277" s="588" t="s">
        <v>519</v>
      </c>
      <c r="H277" s="35">
        <f>+'Prog 05'!H61</f>
        <v>0</v>
      </c>
      <c r="I277" s="35">
        <f>+'Prog 05'!I61</f>
        <v>0</v>
      </c>
      <c r="J277" s="35">
        <f ca="1">+'Prog 05'!J61</f>
        <v>0</v>
      </c>
      <c r="K277" s="334" t="str">
        <f t="shared" ca="1" si="61"/>
        <v>0.00%</v>
      </c>
      <c r="L277" s="35">
        <f>+'Prog 05'!L61</f>
        <v>0</v>
      </c>
      <c r="M277" s="334">
        <f t="shared" si="65"/>
        <v>0</v>
      </c>
      <c r="N277" s="35">
        <f>+'Prog 05'!N61</f>
        <v>0</v>
      </c>
      <c r="O277" s="334">
        <f t="shared" si="66"/>
        <v>0</v>
      </c>
      <c r="P277" s="35">
        <f>+'Prog 05'!P61</f>
        <v>0</v>
      </c>
      <c r="Q277" s="35">
        <f ca="1">+'Prog 05'!Q61</f>
        <v>0</v>
      </c>
      <c r="R277" s="334" t="str">
        <f t="shared" ca="1" si="64"/>
        <v>0.00%</v>
      </c>
      <c r="T277" s="122"/>
      <c r="V277" s="144"/>
      <c r="W277" s="138"/>
      <c r="X277" s="138"/>
      <c r="Y277" s="138"/>
      <c r="Z277" s="142"/>
    </row>
    <row r="278" spans="2:26" ht="15" hidden="1" customHeight="1" outlineLevel="2" x14ac:dyDescent="0.25">
      <c r="B278" s="586"/>
      <c r="C278" s="32"/>
      <c r="D278" s="40" t="s">
        <v>630</v>
      </c>
      <c r="E278" s="34"/>
      <c r="F278" s="34" t="str">
        <f>+CONCATENATE($B$236,"",$C$262,"",D278,"",E278)</f>
        <v>33.03.020</v>
      </c>
      <c r="G278" s="588" t="s">
        <v>689</v>
      </c>
      <c r="H278" s="35">
        <v>0</v>
      </c>
      <c r="I278" s="35">
        <v>0</v>
      </c>
      <c r="J278" s="35">
        <v>0</v>
      </c>
      <c r="K278" s="334" t="str">
        <f t="shared" si="61"/>
        <v>0.00%</v>
      </c>
      <c r="L278" s="35">
        <v>0</v>
      </c>
      <c r="M278" s="334">
        <f t="shared" si="65"/>
        <v>0</v>
      </c>
      <c r="N278" s="35">
        <v>0</v>
      </c>
      <c r="O278" s="334">
        <f t="shared" si="66"/>
        <v>0</v>
      </c>
      <c r="P278" s="35">
        <v>0</v>
      </c>
      <c r="Q278" s="35">
        <v>0</v>
      </c>
      <c r="R278" s="334" t="str">
        <f t="shared" si="64"/>
        <v>0.00%</v>
      </c>
      <c r="T278" s="122"/>
      <c r="V278" s="144"/>
      <c r="W278" s="138"/>
      <c r="X278" s="138"/>
      <c r="Y278" s="138"/>
      <c r="Z278" s="142"/>
    </row>
    <row r="279" spans="2:26" ht="15" hidden="1" customHeight="1" outlineLevel="2" x14ac:dyDescent="0.25">
      <c r="B279" s="586"/>
      <c r="C279" s="32"/>
      <c r="D279" s="40" t="s">
        <v>192</v>
      </c>
      <c r="E279" s="34"/>
      <c r="F279" s="34" t="str">
        <f>+CONCATENATE($B$236,"",$C$262,"",D279,"",E279)</f>
        <v>33.03.021</v>
      </c>
      <c r="G279" s="588" t="s">
        <v>517</v>
      </c>
      <c r="H279" s="35">
        <f>+'Prog 05'!H62</f>
        <v>0</v>
      </c>
      <c r="I279" s="35">
        <f>+'Prog 05'!I62</f>
        <v>0</v>
      </c>
      <c r="J279" s="35">
        <f ca="1">+'Prog 05'!J62</f>
        <v>0</v>
      </c>
      <c r="K279" s="334" t="str">
        <f t="shared" ca="1" si="61"/>
        <v>0.00%</v>
      </c>
      <c r="L279" s="35">
        <f>+'Prog 05'!L62</f>
        <v>0</v>
      </c>
      <c r="M279" s="334">
        <f t="shared" si="65"/>
        <v>0</v>
      </c>
      <c r="N279" s="35">
        <f>+'Prog 05'!N62</f>
        <v>0</v>
      </c>
      <c r="O279" s="334">
        <f t="shared" si="66"/>
        <v>0</v>
      </c>
      <c r="P279" s="35">
        <f>+'Prog 05'!P62</f>
        <v>0</v>
      </c>
      <c r="Q279" s="35">
        <f ca="1">+'Prog 05'!Q62</f>
        <v>0</v>
      </c>
      <c r="R279" s="334" t="str">
        <f t="shared" ca="1" si="64"/>
        <v>0.00%</v>
      </c>
      <c r="T279" s="122"/>
      <c r="V279" s="144"/>
      <c r="W279" s="138"/>
      <c r="X279" s="138"/>
      <c r="Y279" s="138"/>
      <c r="Z279" s="142"/>
    </row>
    <row r="280" spans="2:26" ht="15" hidden="1" customHeight="1" outlineLevel="2" x14ac:dyDescent="0.25">
      <c r="B280" s="586"/>
      <c r="C280" s="32"/>
      <c r="D280" s="40" t="s">
        <v>194</v>
      </c>
      <c r="E280" s="34"/>
      <c r="F280" s="34" t="str">
        <f>+CONCATENATE($B$236,"",$C$262,"",D280,"",E280)</f>
        <v>33.03.025</v>
      </c>
      <c r="G280" s="588" t="s">
        <v>518</v>
      </c>
      <c r="H280" s="35">
        <f>+'Prog 05'!H63</f>
        <v>0</v>
      </c>
      <c r="I280" s="35">
        <f>+'Prog 05'!I63</f>
        <v>0</v>
      </c>
      <c r="J280" s="35">
        <f ca="1">+'Prog 05'!J63</f>
        <v>0</v>
      </c>
      <c r="K280" s="334" t="str">
        <f t="shared" ca="1" si="61"/>
        <v>0.00%</v>
      </c>
      <c r="L280" s="35">
        <f>+'Prog 05'!L63</f>
        <v>0</v>
      </c>
      <c r="M280" s="334">
        <f t="shared" si="65"/>
        <v>0</v>
      </c>
      <c r="N280" s="35">
        <f>+'Prog 05'!N63</f>
        <v>0</v>
      </c>
      <c r="O280" s="334">
        <f t="shared" si="66"/>
        <v>0</v>
      </c>
      <c r="P280" s="35">
        <f>+'Prog 05'!P63</f>
        <v>0</v>
      </c>
      <c r="Q280" s="35">
        <f ca="1">+'Prog 05'!Q63</f>
        <v>0</v>
      </c>
      <c r="R280" s="334" t="str">
        <f t="shared" ca="1" si="64"/>
        <v>0.00%</v>
      </c>
      <c r="T280" s="122"/>
      <c r="V280" s="144"/>
      <c r="W280" s="138"/>
      <c r="X280" s="138"/>
      <c r="Y280" s="138"/>
      <c r="Z280" s="142"/>
    </row>
    <row r="281" spans="2:26" ht="15" hidden="1" customHeight="1" outlineLevel="2" x14ac:dyDescent="0.25">
      <c r="B281" s="586"/>
      <c r="C281" s="32"/>
      <c r="D281" s="43" t="s">
        <v>823</v>
      </c>
      <c r="E281" s="34"/>
      <c r="F281" s="83" t="s">
        <v>628</v>
      </c>
      <c r="G281" s="588" t="str">
        <f>+'Prog 03'!G55</f>
        <v xml:space="preserve">Municipalidades (Fondo Recuperación de Ciudades - FRC) </v>
      </c>
      <c r="H281" s="35">
        <f>+'Prog 03'!H55</f>
        <v>9562068</v>
      </c>
      <c r="I281" s="35">
        <f>+'Prog 03'!I55</f>
        <v>9562068</v>
      </c>
      <c r="J281" s="35">
        <f ca="1">+'Prog 03'!J55</f>
        <v>2400929.7030000002</v>
      </c>
      <c r="K281" s="334">
        <f t="shared" ca="1" si="61"/>
        <v>0.25108895931298547</v>
      </c>
      <c r="L281" s="35">
        <f>+'Prog 03'!L55</f>
        <v>3070652.1630000002</v>
      </c>
      <c r="M281" s="334">
        <f t="shared" si="65"/>
        <v>0.32112845913666377</v>
      </c>
      <c r="N281" s="35">
        <f>+'Prog 03'!N55</f>
        <v>6491415.8369999994</v>
      </c>
      <c r="O281" s="334">
        <f t="shared" si="66"/>
        <v>0.67887154086333623</v>
      </c>
      <c r="P281" s="35">
        <f>+'Prog 03'!P55</f>
        <v>10127864.880000001</v>
      </c>
      <c r="Q281" s="35">
        <f>+'Prog 03'!Q55</f>
        <v>0</v>
      </c>
      <c r="R281" s="334">
        <f t="shared" si="64"/>
        <v>0</v>
      </c>
      <c r="T281" s="122"/>
      <c r="V281" s="144"/>
      <c r="W281" s="138"/>
      <c r="X281" s="138"/>
      <c r="Y281" s="138"/>
      <c r="Z281" s="142"/>
    </row>
    <row r="282" spans="2:26" ht="15" hidden="1" customHeight="1" outlineLevel="2" x14ac:dyDescent="0.25">
      <c r="B282" s="586"/>
      <c r="C282" s="32"/>
      <c r="D282" s="40" t="s">
        <v>187</v>
      </c>
      <c r="E282" s="34"/>
      <c r="F282" s="34" t="str">
        <f>+CONCATENATE($B$236,"",$C$262,"",D282,"",E282)</f>
        <v>33.03.110</v>
      </c>
      <c r="G282" s="588" t="s">
        <v>599</v>
      </c>
      <c r="H282" s="35">
        <f>+'Prog 03'!H56</f>
        <v>17361590</v>
      </c>
      <c r="I282" s="35">
        <f>+'Prog 03'!I56</f>
        <v>17361590</v>
      </c>
      <c r="J282" s="35">
        <f ca="1">+'Prog 03'!J56</f>
        <v>0</v>
      </c>
      <c r="K282" s="334">
        <f t="shared" ca="1" si="61"/>
        <v>0</v>
      </c>
      <c r="L282" s="35">
        <f>+'Prog 03'!L56</f>
        <v>0</v>
      </c>
      <c r="M282" s="334">
        <f t="shared" si="65"/>
        <v>0</v>
      </c>
      <c r="N282" s="35">
        <f>+'Prog 03'!N56</f>
        <v>17361590</v>
      </c>
      <c r="O282" s="334">
        <f t="shared" si="66"/>
        <v>1</v>
      </c>
      <c r="P282" s="35">
        <f>+'Prog 03'!P56</f>
        <v>17806759.881999999</v>
      </c>
      <c r="Q282" s="35">
        <f>+'Prog 03'!Q56</f>
        <v>0</v>
      </c>
      <c r="R282" s="334">
        <f t="shared" si="64"/>
        <v>0</v>
      </c>
      <c r="T282" s="122"/>
      <c r="V282" s="144"/>
      <c r="W282" s="138"/>
      <c r="X282" s="138"/>
      <c r="Y282" s="138"/>
      <c r="Z282" s="142"/>
    </row>
    <row r="283" spans="2:26" ht="15" hidden="1" customHeight="1" outlineLevel="2" x14ac:dyDescent="0.25">
      <c r="B283" s="586"/>
      <c r="C283" s="32"/>
      <c r="D283" s="43" t="s">
        <v>188</v>
      </c>
      <c r="E283" s="34"/>
      <c r="F283" s="34" t="str">
        <f>+CONCATENATE($B$236,"",$C$262,"",D283,"",E283)</f>
        <v>33.03.111</v>
      </c>
      <c r="G283" s="588" t="s">
        <v>600</v>
      </c>
      <c r="H283" s="35">
        <f>+'Prog 03'!H57</f>
        <v>9905707</v>
      </c>
      <c r="I283" s="35">
        <f>+'Prog 03'!I57</f>
        <v>9905707</v>
      </c>
      <c r="J283" s="35">
        <f ca="1">+'Prog 03'!J57</f>
        <v>0</v>
      </c>
      <c r="K283" s="334">
        <f t="shared" ca="1" si="61"/>
        <v>0</v>
      </c>
      <c r="L283" s="35">
        <f>+'Prog 03'!L57</f>
        <v>0</v>
      </c>
      <c r="M283" s="334">
        <f t="shared" si="65"/>
        <v>0</v>
      </c>
      <c r="N283" s="35">
        <f>+'Prog 03'!N57</f>
        <v>9905707</v>
      </c>
      <c r="O283" s="334">
        <f t="shared" si="66"/>
        <v>1</v>
      </c>
      <c r="P283" s="35">
        <f>+'Prog 03'!P57</f>
        <v>9312923.9739999995</v>
      </c>
      <c r="Q283" s="35">
        <f>+'Prog 03'!Q57</f>
        <v>155678.39698399999</v>
      </c>
      <c r="R283" s="334">
        <f t="shared" si="64"/>
        <v>1.6716382246717135E-2</v>
      </c>
      <c r="T283" s="122"/>
      <c r="V283" s="144"/>
      <c r="W283" s="138"/>
      <c r="X283" s="138"/>
      <c r="Y283" s="138"/>
      <c r="Z283" s="142"/>
    </row>
    <row r="284" spans="2:26" ht="15" hidden="1" customHeight="1" outlineLevel="2" x14ac:dyDescent="0.25">
      <c r="B284" s="586"/>
      <c r="C284" s="32"/>
      <c r="D284" s="43" t="s">
        <v>850</v>
      </c>
      <c r="E284" s="34"/>
      <c r="F284" s="34" t="s">
        <v>849</v>
      </c>
      <c r="G284" s="588" t="s">
        <v>848</v>
      </c>
      <c r="H284" s="35">
        <f>+'Prog 03'!H58</f>
        <v>3995732</v>
      </c>
      <c r="I284" s="35">
        <f>+'Prog 03'!I58</f>
        <v>3995732</v>
      </c>
      <c r="J284" s="35">
        <f ca="1">+'Prog 03'!J58</f>
        <v>0</v>
      </c>
      <c r="K284" s="334">
        <f t="shared" ca="1" si="61"/>
        <v>0</v>
      </c>
      <c r="L284" s="35">
        <f>+'Prog 03'!L58</f>
        <v>0</v>
      </c>
      <c r="M284" s="334">
        <f t="shared" si="65"/>
        <v>0</v>
      </c>
      <c r="N284" s="35">
        <f>+'Prog 03'!N58</f>
        <v>3995732</v>
      </c>
      <c r="O284" s="334">
        <f t="shared" si="66"/>
        <v>1</v>
      </c>
      <c r="P284" s="35">
        <f>+'Prog 03'!P58</f>
        <v>4098186</v>
      </c>
      <c r="Q284" s="35">
        <f>+'Prog 03'!Q58</f>
        <v>0</v>
      </c>
      <c r="R284" s="334">
        <f t="shared" si="64"/>
        <v>0</v>
      </c>
      <c r="T284" s="122"/>
      <c r="V284" s="144"/>
      <c r="W284" s="138"/>
      <c r="X284" s="138"/>
      <c r="Y284" s="138"/>
      <c r="Z284" s="142"/>
    </row>
    <row r="285" spans="2:26" ht="15" hidden="1" customHeight="1" outlineLevel="2" x14ac:dyDescent="0.25">
      <c r="B285" s="586"/>
      <c r="C285" s="32"/>
      <c r="D285" s="43" t="s">
        <v>195</v>
      </c>
      <c r="E285" s="34"/>
      <c r="F285" s="34" t="str">
        <f t="shared" ref="F285:F301" si="67">+CONCATENATE($B$236,"",$C$262,"",D285,"",E285)</f>
        <v>33.03.130</v>
      </c>
      <c r="G285" s="588" t="s">
        <v>247</v>
      </c>
      <c r="H285" s="35">
        <f>+'Prog 05'!H64</f>
        <v>0</v>
      </c>
      <c r="I285" s="35">
        <f>+'Prog 05'!I64</f>
        <v>0</v>
      </c>
      <c r="J285" s="35">
        <f ca="1">+'Prog 05'!J64</f>
        <v>0</v>
      </c>
      <c r="K285" s="334" t="str">
        <f t="shared" ca="1" si="61"/>
        <v>0.00%</v>
      </c>
      <c r="L285" s="35">
        <f>+'Prog 05'!L64</f>
        <v>0</v>
      </c>
      <c r="M285" s="334">
        <f t="shared" si="65"/>
        <v>0</v>
      </c>
      <c r="N285" s="35">
        <f>+'Prog 05'!N64</f>
        <v>0</v>
      </c>
      <c r="O285" s="334">
        <f t="shared" si="66"/>
        <v>0</v>
      </c>
      <c r="P285" s="35">
        <f>+'Prog 05'!P64</f>
        <v>0</v>
      </c>
      <c r="Q285" s="35">
        <f ca="1">+'Prog 05'!Q64</f>
        <v>0</v>
      </c>
      <c r="R285" s="334" t="str">
        <f t="shared" ca="1" si="64"/>
        <v>0.00%</v>
      </c>
      <c r="T285" s="122"/>
      <c r="V285" s="144"/>
      <c r="W285" s="138"/>
      <c r="X285" s="138"/>
      <c r="Y285" s="138"/>
      <c r="Z285" s="142"/>
    </row>
    <row r="286" spans="2:26" ht="15" hidden="1" customHeight="1" outlineLevel="2" x14ac:dyDescent="0.25">
      <c r="B286" s="586"/>
      <c r="C286" s="32"/>
      <c r="D286" s="43" t="s">
        <v>196</v>
      </c>
      <c r="E286" s="34"/>
      <c r="F286" s="34" t="str">
        <f t="shared" si="67"/>
        <v>33.03.190</v>
      </c>
      <c r="G286" s="588" t="s">
        <v>248</v>
      </c>
      <c r="H286" s="35">
        <f>+'Prog 05'!H65</f>
        <v>0</v>
      </c>
      <c r="I286" s="35">
        <f>+'Prog 05'!I65</f>
        <v>0</v>
      </c>
      <c r="J286" s="35">
        <f ca="1">+'Prog 05'!J65</f>
        <v>0</v>
      </c>
      <c r="K286" s="334" t="str">
        <f t="shared" ca="1" si="61"/>
        <v>0.00%</v>
      </c>
      <c r="L286" s="35">
        <f>+'Prog 05'!L65</f>
        <v>0</v>
      </c>
      <c r="M286" s="334">
        <f t="shared" si="65"/>
        <v>0</v>
      </c>
      <c r="N286" s="35">
        <f>+'Prog 05'!N65</f>
        <v>0</v>
      </c>
      <c r="O286" s="334">
        <f t="shared" si="66"/>
        <v>0</v>
      </c>
      <c r="P286" s="35">
        <f>+'Prog 05'!P65</f>
        <v>0</v>
      </c>
      <c r="Q286" s="35">
        <f ca="1">+'Prog 05'!Q65</f>
        <v>0</v>
      </c>
      <c r="R286" s="334" t="str">
        <f t="shared" ca="1" si="64"/>
        <v>0.00%</v>
      </c>
      <c r="T286" s="122"/>
      <c r="V286" s="144"/>
      <c r="W286" s="138"/>
      <c r="X286" s="138"/>
      <c r="Y286" s="138"/>
      <c r="Z286" s="142"/>
    </row>
    <row r="287" spans="2:26" ht="15" hidden="1" customHeight="1" outlineLevel="2" x14ac:dyDescent="0.25">
      <c r="B287" s="586"/>
      <c r="C287" s="32"/>
      <c r="D287" s="40" t="s">
        <v>197</v>
      </c>
      <c r="E287" s="34"/>
      <c r="F287" s="34" t="str">
        <f t="shared" si="67"/>
        <v>33.03.418</v>
      </c>
      <c r="G287" s="588" t="s">
        <v>606</v>
      </c>
      <c r="H287" s="35">
        <f>+'Prog 05'!H66</f>
        <v>0</v>
      </c>
      <c r="I287" s="35">
        <f>+'Prog 05'!I66</f>
        <v>0</v>
      </c>
      <c r="J287" s="35">
        <f ca="1">+'Prog 05'!J66</f>
        <v>0</v>
      </c>
      <c r="K287" s="334" t="str">
        <f t="shared" ca="1" si="61"/>
        <v>0.00%</v>
      </c>
      <c r="L287" s="35">
        <f>+'Prog 05'!L66</f>
        <v>0</v>
      </c>
      <c r="M287" s="334">
        <f t="shared" si="65"/>
        <v>0</v>
      </c>
      <c r="N287" s="35">
        <f>+'Prog 05'!N66</f>
        <v>0</v>
      </c>
      <c r="O287" s="334">
        <f t="shared" si="66"/>
        <v>0</v>
      </c>
      <c r="P287" s="35">
        <f>+'Prog 05'!P66</f>
        <v>0</v>
      </c>
      <c r="Q287" s="35">
        <f ca="1">+'Prog 05'!Q66</f>
        <v>0</v>
      </c>
      <c r="R287" s="334" t="str">
        <f t="shared" ca="1" si="64"/>
        <v>0.00%</v>
      </c>
      <c r="T287" s="122"/>
      <c r="V287" s="144"/>
      <c r="W287" s="138"/>
      <c r="X287" s="138"/>
      <c r="Y287" s="138"/>
      <c r="Z287" s="142"/>
    </row>
    <row r="288" spans="2:26" ht="15" hidden="1" customHeight="1" outlineLevel="2" x14ac:dyDescent="0.25">
      <c r="B288" s="586"/>
      <c r="C288" s="32"/>
      <c r="D288" s="40" t="s">
        <v>198</v>
      </c>
      <c r="E288" s="34"/>
      <c r="F288" s="34" t="str">
        <f t="shared" si="67"/>
        <v>33.03.421</v>
      </c>
      <c r="G288" s="588" t="s">
        <v>121</v>
      </c>
      <c r="H288" s="35">
        <f>+'Prog 05'!H67</f>
        <v>0</v>
      </c>
      <c r="I288" s="35">
        <f>+'Prog 05'!I67</f>
        <v>0</v>
      </c>
      <c r="J288" s="35">
        <f ca="1">+'Prog 05'!J67</f>
        <v>0</v>
      </c>
      <c r="K288" s="334" t="str">
        <f t="shared" ca="1" si="61"/>
        <v>0.00%</v>
      </c>
      <c r="L288" s="35">
        <f>+'Prog 05'!L67</f>
        <v>0</v>
      </c>
      <c r="M288" s="334">
        <f t="shared" si="65"/>
        <v>0</v>
      </c>
      <c r="N288" s="35">
        <f>+'Prog 05'!N67</f>
        <v>0</v>
      </c>
      <c r="O288" s="334">
        <f t="shared" si="66"/>
        <v>0</v>
      </c>
      <c r="P288" s="35">
        <f>+'Prog 05'!P67</f>
        <v>0</v>
      </c>
      <c r="Q288" s="35">
        <f ca="1">+'Prog 05'!Q67</f>
        <v>0</v>
      </c>
      <c r="R288" s="334" t="str">
        <f t="shared" ca="1" si="64"/>
        <v>0.00%</v>
      </c>
      <c r="T288" s="122"/>
      <c r="V288" s="144"/>
      <c r="W288" s="138"/>
      <c r="X288" s="138"/>
      <c r="Y288" s="138"/>
      <c r="Z288" s="142"/>
    </row>
    <row r="289" spans="2:26" ht="15" hidden="1" customHeight="1" outlineLevel="2" x14ac:dyDescent="0.25">
      <c r="B289" s="586"/>
      <c r="C289" s="32"/>
      <c r="D289" s="40" t="s">
        <v>199</v>
      </c>
      <c r="E289" s="34"/>
      <c r="F289" s="34" t="str">
        <f t="shared" si="67"/>
        <v>33.03.426</v>
      </c>
      <c r="G289" s="588" t="s">
        <v>122</v>
      </c>
      <c r="H289" s="35">
        <f>+'Prog 05'!H68</f>
        <v>0</v>
      </c>
      <c r="I289" s="35">
        <f>+'Prog 05'!I68</f>
        <v>0</v>
      </c>
      <c r="J289" s="35">
        <f ca="1">+'Prog 05'!J68</f>
        <v>0</v>
      </c>
      <c r="K289" s="334" t="str">
        <f t="shared" ca="1" si="61"/>
        <v>0.00%</v>
      </c>
      <c r="L289" s="35">
        <f>+'Prog 05'!L68</f>
        <v>0</v>
      </c>
      <c r="M289" s="334">
        <f t="shared" si="65"/>
        <v>0</v>
      </c>
      <c r="N289" s="35">
        <f>+'Prog 05'!N68</f>
        <v>0</v>
      </c>
      <c r="O289" s="334">
        <f t="shared" si="66"/>
        <v>0</v>
      </c>
      <c r="P289" s="35">
        <f>+'Prog 05'!P68</f>
        <v>0</v>
      </c>
      <c r="Q289" s="35">
        <f ca="1">+'Prog 05'!Q68</f>
        <v>0</v>
      </c>
      <c r="R289" s="334" t="str">
        <f t="shared" ca="1" si="64"/>
        <v>0.00%</v>
      </c>
      <c r="T289" s="122"/>
      <c r="V289" s="144"/>
      <c r="W289" s="138"/>
      <c r="X289" s="138"/>
      <c r="Y289" s="138"/>
      <c r="Z289" s="142"/>
    </row>
    <row r="290" spans="2:26" s="59" customFormat="1" ht="15" hidden="1" customHeight="1" outlineLevel="2" x14ac:dyDescent="0.25">
      <c r="B290" s="586"/>
      <c r="C290" s="32"/>
      <c r="D290" s="40" t="s">
        <v>256</v>
      </c>
      <c r="E290" s="34"/>
      <c r="F290" s="34" t="str">
        <f t="shared" si="67"/>
        <v>33.03.427</v>
      </c>
      <c r="G290" s="588" t="s">
        <v>263</v>
      </c>
      <c r="H290" s="35">
        <v>0</v>
      </c>
      <c r="I290" s="35">
        <v>0</v>
      </c>
      <c r="J290" s="35">
        <v>0</v>
      </c>
      <c r="K290" s="334" t="str">
        <f t="shared" si="61"/>
        <v>0.00%</v>
      </c>
      <c r="L290" s="35">
        <v>0</v>
      </c>
      <c r="M290" s="334">
        <f t="shared" si="65"/>
        <v>0</v>
      </c>
      <c r="N290" s="35">
        <v>0</v>
      </c>
      <c r="O290" s="334">
        <f t="shared" si="66"/>
        <v>0</v>
      </c>
      <c r="P290" s="35">
        <v>0</v>
      </c>
      <c r="Q290" s="35">
        <v>0</v>
      </c>
      <c r="R290" s="334" t="str">
        <f t="shared" si="64"/>
        <v>0.00%</v>
      </c>
      <c r="S290" s="26"/>
      <c r="T290" s="122"/>
      <c r="U290" s="140"/>
      <c r="V290" s="144"/>
      <c r="W290" s="138"/>
      <c r="X290" s="138"/>
      <c r="Y290" s="138"/>
      <c r="Z290" s="142"/>
    </row>
    <row r="291" spans="2:26" ht="15" hidden="1" customHeight="1" outlineLevel="2" x14ac:dyDescent="0.25">
      <c r="B291" s="586"/>
      <c r="C291" s="32"/>
      <c r="D291" s="40" t="s">
        <v>257</v>
      </c>
      <c r="E291" s="34"/>
      <c r="F291" s="34" t="str">
        <f t="shared" si="67"/>
        <v>33.03.428</v>
      </c>
      <c r="G291" s="588" t="s">
        <v>264</v>
      </c>
      <c r="H291" s="35">
        <v>0</v>
      </c>
      <c r="I291" s="35">
        <v>0</v>
      </c>
      <c r="J291" s="35">
        <v>0</v>
      </c>
      <c r="K291" s="334" t="str">
        <f t="shared" si="61"/>
        <v>0.00%</v>
      </c>
      <c r="L291" s="35">
        <v>0</v>
      </c>
      <c r="M291" s="334">
        <f t="shared" si="65"/>
        <v>0</v>
      </c>
      <c r="N291" s="35">
        <v>0</v>
      </c>
      <c r="O291" s="334">
        <f t="shared" si="66"/>
        <v>0</v>
      </c>
      <c r="P291" s="35">
        <v>0</v>
      </c>
      <c r="Q291" s="35">
        <v>0</v>
      </c>
      <c r="R291" s="334" t="str">
        <f t="shared" si="64"/>
        <v>0.00%</v>
      </c>
      <c r="T291" s="122"/>
      <c r="V291" s="144"/>
      <c r="W291" s="138"/>
      <c r="X291" s="138"/>
      <c r="Y291" s="138"/>
      <c r="Z291" s="142"/>
    </row>
    <row r="292" spans="2:26" ht="15" hidden="1" customHeight="1" outlineLevel="2" x14ac:dyDescent="0.25">
      <c r="B292" s="586"/>
      <c r="C292" s="32"/>
      <c r="D292" s="40" t="s">
        <v>200</v>
      </c>
      <c r="E292" s="34"/>
      <c r="F292" s="34" t="str">
        <f t="shared" si="67"/>
        <v>33.03.429</v>
      </c>
      <c r="G292" s="588" t="s">
        <v>596</v>
      </c>
      <c r="H292" s="35">
        <v>0</v>
      </c>
      <c r="I292" s="35">
        <v>0</v>
      </c>
      <c r="J292" s="35">
        <v>0</v>
      </c>
      <c r="K292" s="334" t="str">
        <f t="shared" si="61"/>
        <v>0.00%</v>
      </c>
      <c r="L292" s="35">
        <v>0</v>
      </c>
      <c r="M292" s="334">
        <f t="shared" si="65"/>
        <v>0</v>
      </c>
      <c r="N292" s="35">
        <v>0</v>
      </c>
      <c r="O292" s="334">
        <f t="shared" si="66"/>
        <v>0</v>
      </c>
      <c r="P292" s="35">
        <v>0</v>
      </c>
      <c r="Q292" s="35">
        <v>0</v>
      </c>
      <c r="R292" s="334" t="str">
        <f t="shared" si="64"/>
        <v>0.00%</v>
      </c>
      <c r="T292" s="122"/>
      <c r="V292" s="144"/>
      <c r="W292" s="138"/>
      <c r="X292" s="138"/>
      <c r="Y292" s="138"/>
      <c r="Z292" s="142"/>
    </row>
    <row r="293" spans="2:26" ht="15" hidden="1" customHeight="1" outlineLevel="2" x14ac:dyDescent="0.25">
      <c r="B293" s="586"/>
      <c r="C293" s="32"/>
      <c r="D293" s="40" t="s">
        <v>587</v>
      </c>
      <c r="E293" s="34"/>
      <c r="F293" s="34" t="str">
        <f t="shared" si="67"/>
        <v>33.03.431</v>
      </c>
      <c r="G293" s="588" t="s">
        <v>607</v>
      </c>
      <c r="H293" s="35">
        <v>0</v>
      </c>
      <c r="I293" s="35">
        <v>0</v>
      </c>
      <c r="J293" s="35">
        <v>0</v>
      </c>
      <c r="K293" s="334" t="str">
        <f t="shared" si="61"/>
        <v>0.00%</v>
      </c>
      <c r="L293" s="35">
        <v>0</v>
      </c>
      <c r="M293" s="334">
        <f t="shared" si="65"/>
        <v>0</v>
      </c>
      <c r="N293" s="35">
        <v>0</v>
      </c>
      <c r="O293" s="334">
        <f t="shared" si="66"/>
        <v>0</v>
      </c>
      <c r="P293" s="35">
        <v>0</v>
      </c>
      <c r="Q293" s="35">
        <v>0</v>
      </c>
      <c r="R293" s="334" t="str">
        <f t="shared" si="64"/>
        <v>0.00%</v>
      </c>
      <c r="T293" s="122"/>
      <c r="V293" s="144"/>
      <c r="W293" s="138"/>
      <c r="X293" s="138"/>
      <c r="Y293" s="138"/>
      <c r="Z293" s="142"/>
    </row>
    <row r="294" spans="2:26" ht="15" hidden="1" customHeight="1" outlineLevel="2" x14ac:dyDescent="0.25">
      <c r="B294" s="586"/>
      <c r="C294" s="32"/>
      <c r="D294" s="40" t="s">
        <v>638</v>
      </c>
      <c r="E294" s="34"/>
      <c r="F294" s="34" t="str">
        <f t="shared" si="67"/>
        <v>33.03.432</v>
      </c>
      <c r="G294" s="588" t="s">
        <v>637</v>
      </c>
      <c r="H294" s="35">
        <f>+'Prog 05'!H60</f>
        <v>19944797</v>
      </c>
      <c r="I294" s="35">
        <f>+'Prog 05'!I60</f>
        <v>9460853</v>
      </c>
      <c r="J294" s="35">
        <f ca="1">+'Prog 05'!J60</f>
        <v>0</v>
      </c>
      <c r="K294" s="334">
        <f t="shared" ca="1" si="61"/>
        <v>0</v>
      </c>
      <c r="L294" s="35">
        <f>+'Prog 05'!L60</f>
        <v>0</v>
      </c>
      <c r="M294" s="334">
        <f t="shared" si="65"/>
        <v>0</v>
      </c>
      <c r="N294" s="35">
        <f>+'Prog 05'!N60</f>
        <v>9460853</v>
      </c>
      <c r="O294" s="334">
        <f t="shared" si="66"/>
        <v>1</v>
      </c>
      <c r="P294" s="35">
        <f>+'Prog 05'!P60</f>
        <v>39889594.962000005</v>
      </c>
      <c r="Q294" s="35">
        <v>0</v>
      </c>
      <c r="R294" s="334">
        <f t="shared" si="64"/>
        <v>0</v>
      </c>
      <c r="T294" s="122"/>
      <c r="V294" s="144"/>
      <c r="W294" s="138"/>
      <c r="X294" s="138"/>
      <c r="Y294" s="138"/>
      <c r="Z294" s="142"/>
    </row>
    <row r="295" spans="2:26" ht="15" hidden="1" customHeight="1" outlineLevel="2" x14ac:dyDescent="0.25">
      <c r="B295" s="586"/>
      <c r="C295" s="32"/>
      <c r="D295" s="40" t="s">
        <v>635</v>
      </c>
      <c r="E295" s="34"/>
      <c r="F295" s="34" t="str">
        <f t="shared" si="67"/>
        <v>33.03.433</v>
      </c>
      <c r="G295" s="588" t="s">
        <v>634</v>
      </c>
      <c r="H295" s="35">
        <v>0</v>
      </c>
      <c r="I295" s="35">
        <v>0</v>
      </c>
      <c r="J295" s="35">
        <v>0</v>
      </c>
      <c r="K295" s="334" t="str">
        <f t="shared" si="61"/>
        <v>0.00%</v>
      </c>
      <c r="L295" s="35">
        <v>0</v>
      </c>
      <c r="M295" s="334">
        <f t="shared" si="65"/>
        <v>0</v>
      </c>
      <c r="N295" s="35">
        <v>0</v>
      </c>
      <c r="O295" s="334">
        <f t="shared" si="66"/>
        <v>0</v>
      </c>
      <c r="P295" s="35">
        <v>0</v>
      </c>
      <c r="Q295" s="35">
        <v>0</v>
      </c>
      <c r="R295" s="334" t="str">
        <f t="shared" si="64"/>
        <v>0.00%</v>
      </c>
      <c r="T295" s="122"/>
      <c r="V295" s="144"/>
      <c r="W295" s="138"/>
      <c r="X295" s="138"/>
      <c r="Y295" s="138"/>
      <c r="Z295" s="142"/>
    </row>
    <row r="296" spans="2:26" ht="15" hidden="1" customHeight="1" outlineLevel="2" x14ac:dyDescent="0.25">
      <c r="B296" s="586"/>
      <c r="C296" s="32"/>
      <c r="D296" s="40" t="s">
        <v>316</v>
      </c>
      <c r="E296" s="34"/>
      <c r="F296" s="34" t="str">
        <f t="shared" si="67"/>
        <v>33.03.602</v>
      </c>
      <c r="G296" s="588" t="s">
        <v>326</v>
      </c>
      <c r="H296" s="35">
        <f>+SUM(H297:H301)</f>
        <v>1419191</v>
      </c>
      <c r="I296" s="35">
        <f>+SUM(I297:I301)</f>
        <v>1348231</v>
      </c>
      <c r="J296" s="35">
        <f ca="1">+SUM(J297:J301)</f>
        <v>4506.134</v>
      </c>
      <c r="K296" s="334">
        <f t="shared" ca="1" si="61"/>
        <v>3.3422566310965999E-3</v>
      </c>
      <c r="L296" s="35">
        <f>+SUM(L297:L301)</f>
        <v>171606.99</v>
      </c>
      <c r="M296" s="334">
        <f t="shared" si="65"/>
        <v>0.12728307686145771</v>
      </c>
      <c r="N296" s="35">
        <f>+SUM(N297:N301)</f>
        <v>1176624.01</v>
      </c>
      <c r="O296" s="334">
        <f t="shared" si="66"/>
        <v>0.87271692313854232</v>
      </c>
      <c r="P296" s="35">
        <f>+SUM(P297:P301)</f>
        <v>1319079.2619999999</v>
      </c>
      <c r="Q296" s="35">
        <f>+SUM(Q297:Q301)</f>
        <v>146379.43476800001</v>
      </c>
      <c r="R296" s="334">
        <f t="shared" si="64"/>
        <v>0.11097091659682239</v>
      </c>
      <c r="T296" s="122"/>
      <c r="V296" s="144"/>
      <c r="W296" s="138"/>
      <c r="X296" s="138"/>
      <c r="Y296" s="138"/>
      <c r="Z296" s="142"/>
    </row>
    <row r="297" spans="2:26" ht="15" hidden="1" customHeight="1" outlineLevel="2" x14ac:dyDescent="0.25">
      <c r="B297" s="586"/>
      <c r="C297" s="32"/>
      <c r="D297" s="40" t="s">
        <v>167</v>
      </c>
      <c r="E297" s="34"/>
      <c r="F297" s="34" t="str">
        <f t="shared" si="67"/>
        <v>33.03.001</v>
      </c>
      <c r="G297" s="588" t="s">
        <v>690</v>
      </c>
      <c r="H297" s="35">
        <f>+'Prog 02'!H56</f>
        <v>707902</v>
      </c>
      <c r="I297" s="35">
        <f>+'Prog 02'!I56</f>
        <v>596942.18299999996</v>
      </c>
      <c r="J297" s="35">
        <f ca="1">+'Prog 02'!J56</f>
        <v>0</v>
      </c>
      <c r="K297" s="334">
        <f t="shared" ca="1" si="61"/>
        <v>0</v>
      </c>
      <c r="L297" s="35">
        <f>+'Prog 02'!L56</f>
        <v>0</v>
      </c>
      <c r="M297" s="334">
        <f t="shared" si="65"/>
        <v>0</v>
      </c>
      <c r="N297" s="35">
        <f>+'Prog 02'!N56</f>
        <v>596942.18299999996</v>
      </c>
      <c r="O297" s="334">
        <f t="shared" si="66"/>
        <v>1</v>
      </c>
      <c r="P297" s="35">
        <f>+'Prog 02'!P56</f>
        <v>502652.46400000004</v>
      </c>
      <c r="Q297" s="35">
        <f>+'Prog 02'!Q56</f>
        <v>140596.334768</v>
      </c>
      <c r="R297" s="334">
        <f t="shared" si="64"/>
        <v>0.27970883430902665</v>
      </c>
      <c r="T297" s="122"/>
      <c r="V297" s="144"/>
      <c r="W297" s="138"/>
      <c r="X297" s="138"/>
      <c r="Y297" s="138"/>
      <c r="Z297" s="142"/>
    </row>
    <row r="298" spans="2:26" ht="15" hidden="1" customHeight="1" outlineLevel="2" x14ac:dyDescent="0.25">
      <c r="B298" s="586"/>
      <c r="C298" s="32"/>
      <c r="D298" s="40" t="s">
        <v>163</v>
      </c>
      <c r="E298" s="34"/>
      <c r="F298" s="34" t="str">
        <f t="shared" si="67"/>
        <v>33.03.002</v>
      </c>
      <c r="G298" s="588" t="s">
        <v>691</v>
      </c>
      <c r="H298" s="35">
        <f>+'Prog 02'!H57</f>
        <v>311367.39799999999</v>
      </c>
      <c r="I298" s="35">
        <f>+'Prog 02'!I57</f>
        <v>315368</v>
      </c>
      <c r="J298" s="35">
        <f ca="1">+'Prog 02'!J57</f>
        <v>4506.134</v>
      </c>
      <c r="K298" s="334">
        <f t="shared" ca="1" si="61"/>
        <v>1.4288494710940869E-2</v>
      </c>
      <c r="L298" s="35">
        <f>+'Prog 02'!L57</f>
        <v>171606.99</v>
      </c>
      <c r="M298" s="334">
        <f t="shared" si="65"/>
        <v>0.54414839172014917</v>
      </c>
      <c r="N298" s="35">
        <f>+'Prog 02'!N57</f>
        <v>143761.01</v>
      </c>
      <c r="O298" s="334">
        <f t="shared" si="66"/>
        <v>0.45585160827985088</v>
      </c>
      <c r="P298" s="35">
        <f>+'Prog 02'!P57</f>
        <v>369101.408</v>
      </c>
      <c r="Q298" s="35">
        <f>+'Prog 02'!Q57</f>
        <v>5783.1</v>
      </c>
      <c r="R298" s="334">
        <f t="shared" si="64"/>
        <v>1.5668051854193957E-2</v>
      </c>
      <c r="T298" s="122"/>
      <c r="V298" s="144"/>
      <c r="W298" s="138"/>
      <c r="X298" s="138"/>
      <c r="Y298" s="138"/>
      <c r="Z298" s="142"/>
    </row>
    <row r="299" spans="2:26" ht="15" hidden="1" customHeight="1" outlineLevel="2" x14ac:dyDescent="0.25">
      <c r="B299" s="586"/>
      <c r="C299" s="32"/>
      <c r="D299" s="40" t="s">
        <v>164</v>
      </c>
      <c r="E299" s="34"/>
      <c r="F299" s="34" t="str">
        <f t="shared" si="67"/>
        <v>33.03.003</v>
      </c>
      <c r="G299" s="588" t="s">
        <v>692</v>
      </c>
      <c r="H299" s="35">
        <f>+'Prog 02'!H58</f>
        <v>236820.785</v>
      </c>
      <c r="I299" s="35">
        <f>+'Prog 02'!I58</f>
        <v>272819.58100000001</v>
      </c>
      <c r="J299" s="35">
        <f ca="1">+'Prog 02'!J58</f>
        <v>0</v>
      </c>
      <c r="K299" s="334">
        <f t="shared" ca="1" si="61"/>
        <v>0</v>
      </c>
      <c r="L299" s="35">
        <f>+'Prog 02'!L58</f>
        <v>0</v>
      </c>
      <c r="M299" s="334">
        <f t="shared" si="65"/>
        <v>0</v>
      </c>
      <c r="N299" s="35">
        <f>+'Prog 02'!N58</f>
        <v>272819.58100000001</v>
      </c>
      <c r="O299" s="334">
        <f t="shared" si="66"/>
        <v>1</v>
      </c>
      <c r="P299" s="35">
        <f>+'Prog 02'!P58</f>
        <v>342848.21799999999</v>
      </c>
      <c r="Q299" s="35">
        <f>+'Prog 02'!Q58</f>
        <v>0</v>
      </c>
      <c r="R299" s="334">
        <f t="shared" si="64"/>
        <v>0</v>
      </c>
      <c r="T299" s="122"/>
      <c r="V299" s="144"/>
      <c r="W299" s="138"/>
      <c r="X299" s="138"/>
      <c r="Y299" s="138"/>
      <c r="Z299" s="142"/>
    </row>
    <row r="300" spans="2:26" ht="15" hidden="1" customHeight="1" outlineLevel="2" x14ac:dyDescent="0.25">
      <c r="B300" s="586"/>
      <c r="C300" s="32"/>
      <c r="D300" s="40" t="s">
        <v>177</v>
      </c>
      <c r="E300" s="34"/>
      <c r="F300" s="34" t="str">
        <f t="shared" si="67"/>
        <v>33.03.004</v>
      </c>
      <c r="G300" s="588" t="s">
        <v>615</v>
      </c>
      <c r="H300" s="35">
        <f>+'Prog 02'!H59</f>
        <v>91100.816999999995</v>
      </c>
      <c r="I300" s="35">
        <f>+'Prog 02'!I59</f>
        <v>91101.236000000004</v>
      </c>
      <c r="J300" s="35">
        <f ca="1">+'Prog 02'!J59</f>
        <v>0</v>
      </c>
      <c r="K300" s="334">
        <f t="shared" ca="1" si="61"/>
        <v>0</v>
      </c>
      <c r="L300" s="35">
        <f>+'Prog 02'!L59</f>
        <v>0</v>
      </c>
      <c r="M300" s="334">
        <f t="shared" si="65"/>
        <v>0</v>
      </c>
      <c r="N300" s="35">
        <f>+'Prog 02'!N59</f>
        <v>91101.236000000004</v>
      </c>
      <c r="O300" s="334">
        <f t="shared" si="66"/>
        <v>1</v>
      </c>
      <c r="P300" s="35">
        <f>+'Prog 02'!P59</f>
        <v>43020.012000000002</v>
      </c>
      <c r="Q300" s="35">
        <f>+'Prog 02'!Q59</f>
        <v>0</v>
      </c>
      <c r="R300" s="334">
        <f t="shared" si="64"/>
        <v>0</v>
      </c>
      <c r="T300" s="122"/>
      <c r="V300" s="144"/>
      <c r="W300" s="138"/>
      <c r="X300" s="138"/>
      <c r="Y300" s="138"/>
      <c r="Z300" s="142"/>
    </row>
    <row r="301" spans="2:26" ht="15" hidden="1" customHeight="1" outlineLevel="2" x14ac:dyDescent="0.25">
      <c r="B301" s="586"/>
      <c r="C301" s="32"/>
      <c r="D301" s="40" t="s">
        <v>178</v>
      </c>
      <c r="E301" s="34"/>
      <c r="F301" s="34" t="str">
        <f t="shared" si="67"/>
        <v>33.03.005</v>
      </c>
      <c r="G301" s="588" t="s">
        <v>617</v>
      </c>
      <c r="H301" s="35">
        <f>+'Prog 02'!H60</f>
        <v>72000</v>
      </c>
      <c r="I301" s="35">
        <f>+'Prog 02'!I60</f>
        <v>72000</v>
      </c>
      <c r="J301" s="35">
        <f ca="1">+'Prog 02'!J60</f>
        <v>0</v>
      </c>
      <c r="K301" s="334">
        <f t="shared" ca="1" si="61"/>
        <v>0</v>
      </c>
      <c r="L301" s="35">
        <f>+'Prog 02'!L60</f>
        <v>0</v>
      </c>
      <c r="M301" s="334">
        <f t="shared" si="65"/>
        <v>0</v>
      </c>
      <c r="N301" s="35">
        <f>+'Prog 02'!N60</f>
        <v>72000</v>
      </c>
      <c r="O301" s="334">
        <f t="shared" si="66"/>
        <v>1</v>
      </c>
      <c r="P301" s="35">
        <f>+'Prog 02'!P60</f>
        <v>61457.16</v>
      </c>
      <c r="Q301" s="35">
        <f>+'Prog 02'!Q60</f>
        <v>0</v>
      </c>
      <c r="R301" s="334">
        <f t="shared" si="64"/>
        <v>0</v>
      </c>
      <c r="T301" s="122"/>
      <c r="V301" s="144"/>
      <c r="W301" s="138"/>
      <c r="X301" s="138"/>
      <c r="Y301" s="138"/>
      <c r="Z301" s="142"/>
    </row>
    <row r="302" spans="2:26" ht="15" customHeight="1" collapsed="1" x14ac:dyDescent="0.25">
      <c r="B302" s="586">
        <v>34</v>
      </c>
      <c r="C302" s="32"/>
      <c r="D302" s="33"/>
      <c r="E302" s="34"/>
      <c r="F302" s="34"/>
      <c r="G302" s="587" t="s">
        <v>83</v>
      </c>
      <c r="H302" s="35">
        <f>+'Prog 01'!I203+'Prog 02'!H61+'Prog 03'!H59</f>
        <v>16451829.199999999</v>
      </c>
      <c r="I302" s="35">
        <f>'Prog 01'!J203+'Prog 02'!I61+'Prog 03'!I59+'Prog 05'!I70</f>
        <v>16451829.199999999</v>
      </c>
      <c r="J302" s="35">
        <f ca="1">'Prog 01'!K203+'Prog 02'!J61+'Prog 03'!J59+'Prog 05'!J70</f>
        <v>50643295.095999993</v>
      </c>
      <c r="K302" s="334">
        <v>1</v>
      </c>
      <c r="L302" s="35">
        <f>'Prog 01'!M203+'Prog 02'!L61+'Prog 03'!L59+'Prog 05'!L70</f>
        <v>50643295.095999993</v>
      </c>
      <c r="M302" s="334">
        <v>1</v>
      </c>
      <c r="N302" s="35">
        <f>+'Prog 01'!O203+'Prog 02'!N61+'Prog 03'!N59+'Prog 05'!N70</f>
        <v>-34191465.895999998</v>
      </c>
      <c r="O302" s="334">
        <v>1</v>
      </c>
      <c r="P302" s="35">
        <f>SUM(P303:P306)</f>
        <v>15889525.000599999</v>
      </c>
      <c r="Q302" s="35">
        <f ca="1">SUM(Q303:Q306)</f>
        <v>26539260.166294001</v>
      </c>
      <c r="R302" s="334">
        <v>1</v>
      </c>
      <c r="T302" s="122"/>
      <c r="V302" s="144"/>
      <c r="W302" s="138"/>
      <c r="X302" s="138"/>
      <c r="Y302" s="138"/>
      <c r="Z302" s="142"/>
    </row>
    <row r="303" spans="2:26" ht="15" hidden="1" customHeight="1" outlineLevel="1" x14ac:dyDescent="0.25">
      <c r="B303" s="586"/>
      <c r="C303" s="242" t="s">
        <v>89</v>
      </c>
      <c r="D303" s="33"/>
      <c r="E303" s="34"/>
      <c r="F303" s="34" t="s">
        <v>201</v>
      </c>
      <c r="G303" s="588" t="s">
        <v>84</v>
      </c>
      <c r="H303" s="35">
        <f>+VLOOKUP(F303,matriz01,3,FALSE)</f>
        <v>13716466</v>
      </c>
      <c r="I303" s="35">
        <f>'Prog 01'!J204</f>
        <v>13716466</v>
      </c>
      <c r="J303" s="35">
        <f ca="1">+VLOOKUP(F303,matriz01,5,FALSE)</f>
        <v>1729970.892</v>
      </c>
      <c r="K303" s="334">
        <f t="shared" ca="1" si="61"/>
        <v>0.12612365984066157</v>
      </c>
      <c r="L303" s="35">
        <f>+'Prog 01'!M199</f>
        <v>0</v>
      </c>
      <c r="M303" s="334">
        <f t="shared" si="65"/>
        <v>0</v>
      </c>
      <c r="N303" s="35">
        <f>+I303-L303</f>
        <v>13716466</v>
      </c>
      <c r="O303" s="334">
        <f t="shared" si="66"/>
        <v>1</v>
      </c>
      <c r="P303" s="35">
        <f>+'Prog 01'!Q204</f>
        <v>13220615.702</v>
      </c>
      <c r="Q303" s="35">
        <f ca="1">+'Prog 01'!R204</f>
        <v>0</v>
      </c>
      <c r="R303" s="334">
        <f t="shared" ca="1" si="64"/>
        <v>0</v>
      </c>
      <c r="T303" s="122"/>
      <c r="V303" s="144"/>
      <c r="W303" s="138"/>
      <c r="Z303" s="142"/>
    </row>
    <row r="304" spans="2:26" ht="15" hidden="1" customHeight="1" outlineLevel="1" x14ac:dyDescent="0.25">
      <c r="B304" s="586"/>
      <c r="C304" s="242" t="s">
        <v>90</v>
      </c>
      <c r="D304" s="33"/>
      <c r="E304" s="34"/>
      <c r="F304" s="34" t="s">
        <v>202</v>
      </c>
      <c r="G304" s="588" t="s">
        <v>85</v>
      </c>
      <c r="H304" s="35">
        <f>+VLOOKUP(F304,matriz01,3,FALSE)</f>
        <v>2528207</v>
      </c>
      <c r="I304" s="35">
        <f>'Prog 01'!J205</f>
        <v>2528207</v>
      </c>
      <c r="J304" s="35">
        <f ca="1">+VLOOKUP(F304,matriz01,5,FALSE)</f>
        <v>1876122.642</v>
      </c>
      <c r="K304" s="334">
        <f t="shared" ca="1" si="61"/>
        <v>0.74207635767166213</v>
      </c>
      <c r="L304" s="35">
        <f>+'Prog 01'!M200</f>
        <v>0</v>
      </c>
      <c r="M304" s="334">
        <f t="shared" si="65"/>
        <v>0</v>
      </c>
      <c r="N304" s="35">
        <f>+I304-L304</f>
        <v>2528207</v>
      </c>
      <c r="O304" s="334">
        <f t="shared" si="66"/>
        <v>1</v>
      </c>
      <c r="P304" s="35">
        <f>+'Prog 01'!Q205</f>
        <v>2668877.7260000003</v>
      </c>
      <c r="Q304" s="35">
        <f ca="1">+'Prog 01'!R205</f>
        <v>1018711.9741740001</v>
      </c>
      <c r="R304" s="334">
        <f t="shared" ca="1" si="64"/>
        <v>0.38170050439170999</v>
      </c>
      <c r="T304" s="122"/>
      <c r="V304" s="144"/>
      <c r="W304" s="138"/>
      <c r="Z304" s="142"/>
    </row>
    <row r="305" spans="2:26" ht="15" hidden="1" customHeight="1" outlineLevel="1" x14ac:dyDescent="0.25">
      <c r="B305" s="586"/>
      <c r="C305" s="242">
        <v>6</v>
      </c>
      <c r="D305" s="33"/>
      <c r="E305" s="34"/>
      <c r="F305" s="249">
        <v>34.06</v>
      </c>
      <c r="G305" s="588" t="s">
        <v>288</v>
      </c>
      <c r="H305" s="35">
        <v>0</v>
      </c>
      <c r="I305" s="35">
        <f>'Prog 01'!J206</f>
        <v>207126</v>
      </c>
      <c r="J305" s="35">
        <v>0</v>
      </c>
      <c r="K305" s="334">
        <f t="shared" si="61"/>
        <v>0</v>
      </c>
      <c r="L305" s="35">
        <f>+'Prog 01'!M201</f>
        <v>0</v>
      </c>
      <c r="M305" s="334">
        <f t="shared" si="65"/>
        <v>0</v>
      </c>
      <c r="N305" s="35">
        <f>+I305-L305</f>
        <v>207126</v>
      </c>
      <c r="O305" s="334">
        <f t="shared" si="66"/>
        <v>1</v>
      </c>
      <c r="P305" s="35">
        <f>+'Prog 01'!Q206</f>
        <v>0</v>
      </c>
      <c r="Q305" s="35">
        <f ca="1">+'Prog 01'!R206</f>
        <v>0</v>
      </c>
      <c r="R305" s="334" t="str">
        <f t="shared" ca="1" si="64"/>
        <v>0.00%</v>
      </c>
      <c r="T305" s="122"/>
      <c r="V305" s="144"/>
      <c r="W305" s="138"/>
      <c r="Z305" s="142"/>
    </row>
    <row r="306" spans="2:26" ht="15" hidden="1" customHeight="1" outlineLevel="1" x14ac:dyDescent="0.25">
      <c r="B306" s="586"/>
      <c r="C306" s="242">
        <v>7</v>
      </c>
      <c r="D306" s="33"/>
      <c r="E306" s="34"/>
      <c r="F306" s="34" t="s">
        <v>203</v>
      </c>
      <c r="G306" s="588" t="s">
        <v>127</v>
      </c>
      <c r="H306" s="35">
        <f>+'Prog 01'!I207+'Prog 02'!H62+'Prog 03'!H60+'Prog 05'!H71</f>
        <v>30.200000000000003</v>
      </c>
      <c r="I306" s="35">
        <f>'Prog 01'!J207+'Prog 02'!I62+'Prog 03'!I60+'Prog 05'!I71</f>
        <v>30.200000000000003</v>
      </c>
      <c r="J306" s="35">
        <f ca="1">+'Prog 01'!K207+'Prog 02'!J62+'Prog 03'!J60+'Prog 05'!J71</f>
        <v>47037201.561999999</v>
      </c>
      <c r="K306" s="334">
        <f t="shared" ca="1" si="61"/>
        <v>1557523.2305298012</v>
      </c>
      <c r="L306" s="35">
        <f>+'Prog 01'!M202+'Prog 02'!L61+'Prog 03'!L60+'Prog 05'!L71</f>
        <v>45344268.794</v>
      </c>
      <c r="M306" s="334">
        <f t="shared" si="65"/>
        <v>1501465.8541059601</v>
      </c>
      <c r="N306" s="35">
        <f>+I306-L306</f>
        <v>-45344238.593999997</v>
      </c>
      <c r="O306" s="334">
        <f t="shared" si="66"/>
        <v>-1501464.8541059601</v>
      </c>
      <c r="P306" s="35">
        <f>+'Prog 03'!P60+'Prog 01'!Q207+'Prog 02'!P62</f>
        <v>31.572600000000001</v>
      </c>
      <c r="Q306" s="35">
        <f ca="1">+'Prog 01'!R207+'Prog 02'!Q62+'Prog 03'!Q60+'Prog 05'!Q70</f>
        <v>25520548.192120001</v>
      </c>
      <c r="R306" s="334">
        <f t="shared" ca="1" si="64"/>
        <v>808313.16369636962</v>
      </c>
      <c r="T306" s="122"/>
      <c r="V306" s="144"/>
      <c r="W306" s="138"/>
      <c r="Z306" s="142"/>
    </row>
    <row r="307" spans="2:26" ht="15" customHeight="1" collapsed="1" thickBot="1" x14ac:dyDescent="0.3">
      <c r="B307" s="586">
        <v>35</v>
      </c>
      <c r="C307" s="32"/>
      <c r="D307" s="33"/>
      <c r="E307" s="34"/>
      <c r="F307" s="34"/>
      <c r="G307" s="587" t="s">
        <v>124</v>
      </c>
      <c r="H307" s="36">
        <f>+'Prog 01'!I208+'Prog 02'!H63+'Prog 03'!H61+'Prog 05'!H72</f>
        <v>0</v>
      </c>
      <c r="I307" s="36">
        <f>'Prog 01'!J208+'Prog 02'!I63+'Prog 03'!I61+'Prog 05'!I72</f>
        <v>0</v>
      </c>
      <c r="J307" s="36">
        <v>0</v>
      </c>
      <c r="K307" s="334" t="str">
        <f t="shared" si="61"/>
        <v>0.00%</v>
      </c>
      <c r="L307" s="35">
        <f>+'Prog 01'!M213+'Prog 02'!L63+'Prog 03'!L61+'Prog 05'!L72</f>
        <v>0</v>
      </c>
      <c r="M307" s="334">
        <f t="shared" si="65"/>
        <v>0</v>
      </c>
      <c r="N307" s="35">
        <f>+'Prog 01'!O208</f>
        <v>0</v>
      </c>
      <c r="O307" s="334">
        <f t="shared" si="66"/>
        <v>0</v>
      </c>
      <c r="P307" s="35">
        <f>+'Prog 01'!Q208+'Prog 02'!P63+'Prog 03'!P61+'Prog 05'!P72</f>
        <v>0</v>
      </c>
      <c r="Q307" s="35">
        <v>0</v>
      </c>
      <c r="R307" s="334" t="str">
        <f t="shared" si="64"/>
        <v>0.00%</v>
      </c>
      <c r="T307" s="122"/>
      <c r="V307" s="144"/>
      <c r="W307" s="138"/>
    </row>
    <row r="308" spans="2:26" s="26" customFormat="1" ht="13.5" hidden="1" thickBot="1" x14ac:dyDescent="0.25">
      <c r="B308" s="849"/>
      <c r="C308" s="850"/>
      <c r="D308" s="851"/>
      <c r="E308" s="852"/>
      <c r="F308" s="852"/>
      <c r="G308" s="853"/>
      <c r="H308" s="853"/>
      <c r="I308" s="854"/>
      <c r="J308" s="854"/>
      <c r="K308" s="855"/>
      <c r="L308" s="856"/>
      <c r="M308" s="855"/>
      <c r="N308" s="856"/>
      <c r="O308" s="855"/>
      <c r="P308" s="854"/>
      <c r="Q308" s="854"/>
      <c r="R308" s="857"/>
      <c r="S308" s="78"/>
      <c r="T308" s="66"/>
      <c r="U308" s="66"/>
      <c r="V308" s="66"/>
    </row>
    <row r="309" spans="2:26" s="26" customFormat="1" ht="20.25" x14ac:dyDescent="0.3">
      <c r="B309" s="1259" t="s">
        <v>150</v>
      </c>
      <c r="C309" s="1259"/>
      <c r="D309" s="1259"/>
      <c r="E309" s="1259"/>
      <c r="F309" s="1259"/>
      <c r="G309" s="1259"/>
      <c r="H309" s="1259"/>
      <c r="I309" s="1259"/>
      <c r="J309" s="1259"/>
      <c r="K309" s="1259"/>
      <c r="L309" s="1259"/>
      <c r="M309" s="1259"/>
      <c r="N309" s="1259"/>
      <c r="O309" s="1259"/>
      <c r="P309" s="1259"/>
      <c r="Q309" s="1259"/>
      <c r="R309" s="1259"/>
      <c r="S309" s="243"/>
      <c r="T309" s="66"/>
      <c r="U309" s="66"/>
      <c r="V309" s="66"/>
    </row>
    <row r="310" spans="2:26" s="26" customFormat="1" ht="18.75" customHeight="1" thickBot="1" x14ac:dyDescent="0.25">
      <c r="B310" s="1262" t="s">
        <v>279</v>
      </c>
      <c r="C310" s="1262"/>
      <c r="D310" s="1262"/>
      <c r="E310" s="1262"/>
      <c r="F310" s="1262"/>
      <c r="G310" s="1262"/>
      <c r="H310" s="1260" t="s">
        <v>878</v>
      </c>
      <c r="I310" s="1260"/>
      <c r="J310" s="1260"/>
      <c r="K310" s="1260"/>
      <c r="L310" s="1260"/>
      <c r="M310" s="1260"/>
      <c r="N310" s="1260"/>
      <c r="O310" s="1260"/>
      <c r="P310" s="1265" t="s">
        <v>785</v>
      </c>
      <c r="Q310" s="1265"/>
      <c r="R310" s="1265"/>
      <c r="S310" s="244"/>
      <c r="T310" s="66"/>
      <c r="U310" s="66"/>
      <c r="V310" s="66"/>
    </row>
    <row r="311" spans="2:26" s="26" customFormat="1" ht="15.75" hidden="1" customHeight="1" thickBot="1" x14ac:dyDescent="0.3">
      <c r="B311" s="1262"/>
      <c r="C311" s="1262"/>
      <c r="D311" s="1262"/>
      <c r="E311" s="1262"/>
      <c r="F311" s="1262"/>
      <c r="G311" s="1262"/>
      <c r="H311" s="819" t="s">
        <v>129</v>
      </c>
      <c r="I311" s="815" t="s">
        <v>130</v>
      </c>
      <c r="J311" s="815" t="s">
        <v>131</v>
      </c>
      <c r="K311" s="820" t="s">
        <v>132</v>
      </c>
      <c r="L311" s="821" t="s">
        <v>705</v>
      </c>
      <c r="M311" s="822" t="s">
        <v>707</v>
      </c>
      <c r="N311" s="821" t="s">
        <v>706</v>
      </c>
      <c r="O311" s="823" t="s">
        <v>708</v>
      </c>
      <c r="P311" s="816" t="s">
        <v>129</v>
      </c>
      <c r="Q311" s="816" t="s">
        <v>130</v>
      </c>
      <c r="R311" s="817" t="s">
        <v>133</v>
      </c>
      <c r="S311" s="245" t="s">
        <v>714</v>
      </c>
      <c r="T311" s="66"/>
      <c r="U311" s="66"/>
      <c r="V311" s="66"/>
    </row>
    <row r="312" spans="2:26" s="26" customFormat="1" ht="54" customHeight="1" x14ac:dyDescent="0.2">
      <c r="B312" s="1262"/>
      <c r="C312" s="1262"/>
      <c r="D312" s="1262"/>
      <c r="E312" s="1262"/>
      <c r="F312" s="1262"/>
      <c r="G312" s="1262"/>
      <c r="H312" s="641" t="s">
        <v>1005</v>
      </c>
      <c r="I312" s="641" t="s">
        <v>1006</v>
      </c>
      <c r="J312" s="641" t="s">
        <v>1062</v>
      </c>
      <c r="K312" s="642" t="s">
        <v>1063</v>
      </c>
      <c r="L312" s="641" t="s">
        <v>718</v>
      </c>
      <c r="M312" s="642" t="s">
        <v>717</v>
      </c>
      <c r="N312" s="641" t="s">
        <v>715</v>
      </c>
      <c r="O312" s="642" t="s">
        <v>716</v>
      </c>
      <c r="P312" s="643" t="s">
        <v>1059</v>
      </c>
      <c r="Q312" s="643" t="s">
        <v>1060</v>
      </c>
      <c r="R312" s="644" t="s">
        <v>1061</v>
      </c>
      <c r="S312" s="246" t="s">
        <v>713</v>
      </c>
      <c r="T312" s="66"/>
      <c r="U312" s="66"/>
      <c r="V312" s="66"/>
    </row>
    <row r="313" spans="2:26" s="26" customFormat="1" ht="71.25" hidden="1" customHeight="1" x14ac:dyDescent="0.2">
      <c r="B313" s="824">
        <v>1</v>
      </c>
      <c r="C313" s="825" t="s">
        <v>284</v>
      </c>
      <c r="D313" s="825" t="s">
        <v>284</v>
      </c>
      <c r="E313" s="825" t="s">
        <v>284</v>
      </c>
      <c r="F313" s="825" t="s">
        <v>284</v>
      </c>
      <c r="G313" s="825" t="s">
        <v>284</v>
      </c>
      <c r="H313" s="641" t="s">
        <v>1005</v>
      </c>
      <c r="I313" s="641" t="s">
        <v>1006</v>
      </c>
      <c r="J313" s="641" t="s">
        <v>1007</v>
      </c>
      <c r="K313" s="642" t="s">
        <v>1008</v>
      </c>
      <c r="L313" s="641" t="s">
        <v>718</v>
      </c>
      <c r="M313" s="642" t="s">
        <v>717</v>
      </c>
      <c r="N313" s="641" t="s">
        <v>715</v>
      </c>
      <c r="O313" s="642" t="s">
        <v>716</v>
      </c>
      <c r="P313" s="643" t="s">
        <v>1009</v>
      </c>
      <c r="Q313" s="643" t="s">
        <v>1010</v>
      </c>
      <c r="R313" s="644" t="s">
        <v>1011</v>
      </c>
      <c r="S313" s="246" t="s">
        <v>713</v>
      </c>
      <c r="T313" s="66"/>
      <c r="U313" s="66"/>
      <c r="V313" s="66"/>
    </row>
    <row r="314" spans="2:26" s="26" customFormat="1" ht="15" customHeight="1" x14ac:dyDescent="0.2">
      <c r="B314" s="1263" t="s">
        <v>642</v>
      </c>
      <c r="C314" s="1263"/>
      <c r="D314" s="1263"/>
      <c r="E314" s="1263"/>
      <c r="F314" s="1263"/>
      <c r="G314" s="1263"/>
      <c r="H314" s="826">
        <f>+'Prog 01'!I9</f>
        <v>40123745.100000001</v>
      </c>
      <c r="I314" s="826">
        <f>+'Prog 01'!J9</f>
        <v>39560035.100000001</v>
      </c>
      <c r="J314" s="826">
        <f ca="1">+'Prog 01'!K9</f>
        <v>8268432.3619999997</v>
      </c>
      <c r="K314" s="827">
        <f ca="1">+J314/I314</f>
        <v>0.20900973270370024</v>
      </c>
      <c r="L314" s="828">
        <f>+'Prog 01'!M9</f>
        <v>10476240.495999999</v>
      </c>
      <c r="M314" s="827">
        <f>+L314/I314</f>
        <v>0.26481878667493902</v>
      </c>
      <c r="N314" s="829">
        <f>+'Prog 01'!O9</f>
        <v>29083794.604000002</v>
      </c>
      <c r="O314" s="827">
        <f>+N314/I314</f>
        <v>0.73518121332506103</v>
      </c>
      <c r="P314" s="826">
        <f>+'Prog 01'!Q9</f>
        <v>38960464.506200001</v>
      </c>
      <c r="Q314" s="826">
        <f ca="1">+'Prog 01'!R9</f>
        <v>5119111.9668000005</v>
      </c>
      <c r="R314" s="827">
        <f ca="1">Q314/P314</f>
        <v>0.13139247777667967</v>
      </c>
      <c r="S314" s="247">
        <f ca="1">+L314-J314</f>
        <v>2207808.1339999996</v>
      </c>
      <c r="T314" s="218"/>
      <c r="U314" s="66"/>
      <c r="V314" s="66"/>
    </row>
    <row r="315" spans="2:26" s="26" customFormat="1" ht="15" customHeight="1" x14ac:dyDescent="0.2">
      <c r="B315" s="1263" t="s">
        <v>249</v>
      </c>
      <c r="C315" s="1263"/>
      <c r="D315" s="1263"/>
      <c r="E315" s="1263"/>
      <c r="F315" s="1263"/>
      <c r="G315" s="1263"/>
      <c r="H315" s="826">
        <f>+'Prog 02'!H9</f>
        <v>6445274</v>
      </c>
      <c r="I315" s="826">
        <f>+'Prog 02'!I9</f>
        <v>6374314</v>
      </c>
      <c r="J315" s="826">
        <f ca="1">+'Prog 02'!J9</f>
        <v>1541895.4289999998</v>
      </c>
      <c r="K315" s="827">
        <f ca="1">+J315/I315</f>
        <v>0.24189197912120422</v>
      </c>
      <c r="L315" s="828">
        <f>+'Prog 02'!L9</f>
        <v>2212445.7599999998</v>
      </c>
      <c r="M315" s="827">
        <f>+L315/I315</f>
        <v>0.34708766464909002</v>
      </c>
      <c r="N315" s="830">
        <f>+'Prog 02'!N9</f>
        <v>4161868.24</v>
      </c>
      <c r="O315" s="827">
        <f>+N315/I315</f>
        <v>0.65291233535090998</v>
      </c>
      <c r="P315" s="826">
        <f>+'Prog 02'!P9</f>
        <v>7549604.7881999994</v>
      </c>
      <c r="Q315" s="826">
        <f>+'Prog 02'!Q9</f>
        <v>1091324.102622</v>
      </c>
      <c r="R315" s="827">
        <f>Q315/P315</f>
        <v>0.14455380556181366</v>
      </c>
      <c r="S315" s="247">
        <f ca="1">+L315-J315</f>
        <v>670550.33100000001</v>
      </c>
      <c r="T315" s="218"/>
      <c r="U315" s="66"/>
      <c r="V315" s="66"/>
    </row>
    <row r="316" spans="2:26" s="26" customFormat="1" ht="15" customHeight="1" x14ac:dyDescent="0.2">
      <c r="B316" s="1264" t="s">
        <v>250</v>
      </c>
      <c r="C316" s="1264"/>
      <c r="D316" s="1264"/>
      <c r="E316" s="1264"/>
      <c r="F316" s="1264"/>
      <c r="G316" s="1264"/>
      <c r="H316" s="36">
        <f>+'Prog 03'!H11</f>
        <v>282286863.09600002</v>
      </c>
      <c r="I316" s="36">
        <f>+'Prog 03'!I11</f>
        <v>272655009.09600002</v>
      </c>
      <c r="J316" s="36">
        <f ca="1">+'Prog 03'!J11</f>
        <v>57606824.673999995</v>
      </c>
      <c r="K316" s="827">
        <f ca="1">+J316/I316</f>
        <v>0.21128100622467205</v>
      </c>
      <c r="L316" s="828">
        <f>+'Prog 03'!L11</f>
        <v>58683322.898999996</v>
      </c>
      <c r="M316" s="827">
        <f>+L316/I316</f>
        <v>0.21522921252599467</v>
      </c>
      <c r="N316" s="830">
        <f>+'Prog 03'!N11</f>
        <v>213971686.19700003</v>
      </c>
      <c r="O316" s="827">
        <f>+N316/I316</f>
        <v>0.78477078747400542</v>
      </c>
      <c r="P316" s="826">
        <f>+'Prog 03'!P11</f>
        <v>290913036.55840003</v>
      </c>
      <c r="Q316" s="826">
        <f ca="1">+'Prog 03'!Q11</f>
        <v>50410516.126649998</v>
      </c>
      <c r="R316" s="827">
        <f ca="1">Q316/P316</f>
        <v>0.17328379890782317</v>
      </c>
      <c r="S316" s="247">
        <f ca="1">+L316-J316</f>
        <v>1076498.2250000015</v>
      </c>
      <c r="T316" s="218"/>
      <c r="U316" s="66"/>
      <c r="V316" s="66"/>
    </row>
    <row r="317" spans="2:26" s="26" customFormat="1" ht="15" customHeight="1" x14ac:dyDescent="0.2">
      <c r="B317" s="1264" t="s">
        <v>633</v>
      </c>
      <c r="C317" s="1264"/>
      <c r="D317" s="1264"/>
      <c r="E317" s="1264"/>
      <c r="F317" s="1264"/>
      <c r="G317" s="1264"/>
      <c r="H317" s="36">
        <f>+'Prog 05'!H9</f>
        <v>102489437</v>
      </c>
      <c r="I317" s="36">
        <f>+'Prog 05'!I9</f>
        <v>56092645</v>
      </c>
      <c r="J317" s="36">
        <f ca="1">+'Prog 05'!J9</f>
        <v>0</v>
      </c>
      <c r="K317" s="831">
        <f ca="1">+J317/I317</f>
        <v>0</v>
      </c>
      <c r="L317" s="607">
        <f>+'Prog 05'!L9</f>
        <v>0</v>
      </c>
      <c r="M317" s="831">
        <f>+L317/I317</f>
        <v>0</v>
      </c>
      <c r="N317" s="832">
        <f>+'Prog 05'!N9</f>
        <v>56092645</v>
      </c>
      <c r="O317" s="831">
        <f>+N317/I317</f>
        <v>1</v>
      </c>
      <c r="P317" s="36">
        <f>+'Prog 05'!P9</f>
        <v>82012635.648000002</v>
      </c>
      <c r="Q317" s="826">
        <f ca="1">+'Prog 05'!Q9</f>
        <v>8343473.2240000004</v>
      </c>
      <c r="R317" s="831">
        <f ca="1">Q317/P317</f>
        <v>0.10173399693932977</v>
      </c>
      <c r="S317" s="247">
        <f ca="1">+L317-J317</f>
        <v>0</v>
      </c>
      <c r="T317" s="218"/>
      <c r="U317" s="66"/>
      <c r="V317" s="66"/>
    </row>
    <row r="318" spans="2:26" s="26" customFormat="1" ht="12.75" customHeight="1" thickBot="1" x14ac:dyDescent="0.25">
      <c r="B318" s="1257"/>
      <c r="C318" s="1257"/>
      <c r="D318" s="1257"/>
      <c r="E318" s="1257"/>
      <c r="F318" s="1257"/>
      <c r="G318" s="1257"/>
      <c r="H318" s="1257"/>
      <c r="I318" s="1257"/>
      <c r="J318" s="1257"/>
      <c r="K318" s="1257"/>
      <c r="L318" s="1257"/>
      <c r="M318" s="1257"/>
      <c r="N318" s="1257"/>
      <c r="O318" s="1257"/>
      <c r="P318" s="1257"/>
      <c r="Q318" s="1257"/>
      <c r="R318" s="1257"/>
      <c r="T318" s="218"/>
      <c r="U318" s="66"/>
      <c r="V318" s="66"/>
    </row>
    <row r="319" spans="2:26" s="26" customFormat="1" ht="16.5" thickBot="1" x14ac:dyDescent="0.3">
      <c r="B319" s="1258" t="s">
        <v>140</v>
      </c>
      <c r="C319" s="1258"/>
      <c r="D319" s="1258"/>
      <c r="E319" s="1258"/>
      <c r="F319" s="1258"/>
      <c r="G319" s="1258"/>
      <c r="H319" s="846">
        <f>SUM(H314:H317)</f>
        <v>431345319.19600004</v>
      </c>
      <c r="I319" s="846">
        <f>SUM(I314:I317)</f>
        <v>374682003.19600004</v>
      </c>
      <c r="J319" s="846">
        <f ca="1">SUM(J314:J317)</f>
        <v>67417152.464999989</v>
      </c>
      <c r="K319" s="842">
        <f ca="1">+J319/I319</f>
        <v>0.17993165374888148</v>
      </c>
      <c r="L319" s="847">
        <f>SUM(L314:L317)</f>
        <v>71372009.155000001</v>
      </c>
      <c r="M319" s="848">
        <f>+L319/I319</f>
        <v>0.1904868890050867</v>
      </c>
      <c r="N319" s="847">
        <f>SUM(N314:N317)</f>
        <v>303309994.04100001</v>
      </c>
      <c r="O319" s="842">
        <f>+N319/I319</f>
        <v>0.80951311099491319</v>
      </c>
      <c r="P319" s="846">
        <f>SUM(P314:P318)</f>
        <v>419435741.50080001</v>
      </c>
      <c r="Q319" s="846">
        <f ca="1">SUM(Q314:Q318)</f>
        <v>64964425.420071997</v>
      </c>
      <c r="R319" s="842">
        <f ca="1">Q319/P319</f>
        <v>0.1548852875237102</v>
      </c>
      <c r="S319" s="248">
        <f ca="1">+J319-L319</f>
        <v>-3954856.6900000125</v>
      </c>
      <c r="T319" s="218"/>
      <c r="U319" s="66"/>
      <c r="V319" s="66"/>
    </row>
    <row r="320" spans="2:26" s="26" customFormat="1" ht="15" hidden="1" customHeight="1" x14ac:dyDescent="0.2">
      <c r="B320" s="53"/>
      <c r="C320" s="54"/>
      <c r="D320" s="55"/>
      <c r="E320" s="56"/>
      <c r="F320" s="56"/>
      <c r="G320" s="27"/>
      <c r="H320" s="26">
        <f t="shared" ref="H320:R320" si="68">+H9-H319</f>
        <v>0</v>
      </c>
      <c r="I320" s="26">
        <f t="shared" si="68"/>
        <v>0</v>
      </c>
      <c r="J320" s="26">
        <f t="shared" ca="1" si="68"/>
        <v>0</v>
      </c>
      <c r="K320" s="217">
        <f t="shared" ca="1" si="68"/>
        <v>0</v>
      </c>
      <c r="L320" s="57">
        <f t="shared" si="68"/>
        <v>0</v>
      </c>
      <c r="M320" s="509">
        <f t="shared" si="68"/>
        <v>0</v>
      </c>
      <c r="N320" s="26">
        <f t="shared" si="68"/>
        <v>-5359472</v>
      </c>
      <c r="O320" s="217">
        <f t="shared" si="68"/>
        <v>-1.4304055050107012E-2</v>
      </c>
      <c r="P320" s="127">
        <f t="shared" si="68"/>
        <v>0</v>
      </c>
      <c r="Q320" s="26">
        <f t="shared" ca="1" si="68"/>
        <v>0</v>
      </c>
      <c r="R320" s="218">
        <f t="shared" ca="1" si="68"/>
        <v>0</v>
      </c>
      <c r="T320" s="66"/>
      <c r="U320" s="66"/>
      <c r="V320" s="66"/>
    </row>
    <row r="321" spans="2:22" ht="12.75" hidden="1" customHeight="1" x14ac:dyDescent="0.2">
      <c r="H321" s="185">
        <f t="shared" ref="H321:R321" si="69">+H9-H319</f>
        <v>0</v>
      </c>
      <c r="I321" s="185">
        <f t="shared" si="69"/>
        <v>0</v>
      </c>
      <c r="J321" s="185">
        <f t="shared" ca="1" si="69"/>
        <v>0</v>
      </c>
      <c r="K321" s="511">
        <f t="shared" ca="1" si="69"/>
        <v>0</v>
      </c>
      <c r="L321" s="185">
        <f t="shared" si="69"/>
        <v>0</v>
      </c>
      <c r="M321" s="510">
        <f t="shared" si="69"/>
        <v>0</v>
      </c>
      <c r="N321" s="185">
        <f t="shared" si="69"/>
        <v>-5359472</v>
      </c>
      <c r="O321" s="511">
        <f t="shared" si="69"/>
        <v>-1.4304055050107012E-2</v>
      </c>
      <c r="P321" s="185">
        <f t="shared" si="69"/>
        <v>0</v>
      </c>
      <c r="Q321" s="185">
        <f t="shared" ca="1" si="69"/>
        <v>0</v>
      </c>
      <c r="R321" s="511">
        <f t="shared" ca="1" si="69"/>
        <v>0</v>
      </c>
      <c r="S321" s="128">
        <f ca="1">+S319-S9</f>
        <v>-3954856.6900000125</v>
      </c>
    </row>
    <row r="322" spans="2:22" ht="12.75" hidden="1" customHeight="1" x14ac:dyDescent="0.2">
      <c r="G322" s="26"/>
      <c r="H322" s="184">
        <f t="shared" ref="H322:R322" si="70">+H9-H319</f>
        <v>0</v>
      </c>
      <c r="I322" s="184">
        <f t="shared" si="70"/>
        <v>0</v>
      </c>
      <c r="J322" s="184">
        <f t="shared" ca="1" si="70"/>
        <v>0</v>
      </c>
      <c r="K322" s="217">
        <f t="shared" ca="1" si="70"/>
        <v>0</v>
      </c>
      <c r="L322" s="184">
        <f t="shared" si="70"/>
        <v>0</v>
      </c>
      <c r="M322" s="509">
        <f t="shared" si="70"/>
        <v>0</v>
      </c>
      <c r="N322" s="184">
        <f t="shared" si="70"/>
        <v>-5359472</v>
      </c>
      <c r="O322" s="217">
        <f t="shared" si="70"/>
        <v>-1.4304055050107012E-2</v>
      </c>
      <c r="P322" s="184">
        <f t="shared" si="70"/>
        <v>0</v>
      </c>
      <c r="Q322" s="184">
        <f t="shared" ca="1" si="70"/>
        <v>0</v>
      </c>
      <c r="R322" s="217">
        <f t="shared" ca="1" si="70"/>
        <v>0</v>
      </c>
    </row>
    <row r="323" spans="2:22" s="865" customFormat="1" ht="12.75" customHeight="1" x14ac:dyDescent="0.2">
      <c r="B323" s="858"/>
      <c r="C323" s="859"/>
      <c r="D323" s="860"/>
      <c r="E323" s="861"/>
      <c r="F323" s="861"/>
      <c r="G323" s="862"/>
      <c r="H323" s="863">
        <f>+H9-H319</f>
        <v>0</v>
      </c>
      <c r="I323" s="863">
        <f t="shared" ref="I323:O323" si="71">+I9-I319</f>
        <v>0</v>
      </c>
      <c r="J323" s="863">
        <f t="shared" ca="1" si="71"/>
        <v>0</v>
      </c>
      <c r="K323" s="863">
        <f t="shared" ca="1" si="71"/>
        <v>0</v>
      </c>
      <c r="L323" s="863">
        <f t="shared" si="71"/>
        <v>0</v>
      </c>
      <c r="M323" s="863">
        <f t="shared" si="71"/>
        <v>0</v>
      </c>
      <c r="N323" s="863">
        <f t="shared" si="71"/>
        <v>-5359472</v>
      </c>
      <c r="O323" s="863">
        <f t="shared" si="71"/>
        <v>-1.4304055050107012E-2</v>
      </c>
      <c r="P323" s="863">
        <f>+P9-P319</f>
        <v>0</v>
      </c>
      <c r="Q323" s="863">
        <f ca="1">+Q9-Q319</f>
        <v>0</v>
      </c>
      <c r="R323" s="863">
        <f t="shared" ref="R323" ca="1" si="72">+R9-R319</f>
        <v>0</v>
      </c>
      <c r="S323" s="862"/>
      <c r="T323" s="864"/>
      <c r="U323" s="864"/>
      <c r="V323" s="864"/>
    </row>
    <row r="324" spans="2:22" ht="12.75" customHeight="1" x14ac:dyDescent="0.2">
      <c r="G324" s="26"/>
      <c r="H324" s="26"/>
    </row>
    <row r="325" spans="2:22" ht="12.75" customHeight="1" x14ac:dyDescent="0.2">
      <c r="G325" s="26"/>
      <c r="H325" s="26"/>
    </row>
    <row r="326" spans="2:22" ht="12.75" customHeight="1" x14ac:dyDescent="0.2">
      <c r="G326" s="26"/>
      <c r="H326" s="26"/>
    </row>
    <row r="327" spans="2:22" ht="12.75" customHeight="1" x14ac:dyDescent="0.2">
      <c r="G327" s="26"/>
      <c r="H327" s="26"/>
    </row>
    <row r="328" spans="2:22" ht="12.75" customHeight="1" x14ac:dyDescent="0.2">
      <c r="G328" s="26"/>
      <c r="H328" s="26"/>
    </row>
    <row r="330" spans="2:22" ht="12.75" customHeight="1" x14ac:dyDescent="0.2">
      <c r="I330" s="67"/>
    </row>
    <row r="331" spans="2:22" ht="12.75" customHeight="1" x14ac:dyDescent="0.2">
      <c r="I331" s="67"/>
    </row>
    <row r="332" spans="2:22" ht="12.75" customHeight="1" x14ac:dyDescent="0.2">
      <c r="I332" s="67"/>
    </row>
    <row r="333" spans="2:22" ht="12.75" customHeight="1" x14ac:dyDescent="0.2">
      <c r="I333" s="67"/>
    </row>
  </sheetData>
  <mergeCells count="16">
    <mergeCell ref="B2:R2"/>
    <mergeCell ref="B4:R4"/>
    <mergeCell ref="P310:R310"/>
    <mergeCell ref="P5:R5"/>
    <mergeCell ref="B3:R3"/>
    <mergeCell ref="B318:R318"/>
    <mergeCell ref="B319:G319"/>
    <mergeCell ref="B309:R309"/>
    <mergeCell ref="H5:O5"/>
    <mergeCell ref="H310:O310"/>
    <mergeCell ref="B5:G7"/>
    <mergeCell ref="B310:G312"/>
    <mergeCell ref="B314:G314"/>
    <mergeCell ref="B315:G315"/>
    <mergeCell ref="B316:G316"/>
    <mergeCell ref="B317:G317"/>
  </mergeCells>
  <phoneticPr fontId="24" type="noConversion"/>
  <printOptions horizontalCentered="1"/>
  <pageMargins left="1" right="1" top="1" bottom="1" header="0.5" footer="0.5"/>
  <pageSetup paperSize="5" scale="80" orientation="landscape" r:id="rId1"/>
  <ignoredErrors>
    <ignoredError sqref="H103 H120:H122 I88:J88 H112:H113 J128:J130 H128:H135 I127:I130 H139 J121:J122 H123:I125 H65:J67 P38 P42 H38:J38 I105:I111 H77 H70:J70 H69:I69 H87 H89 J124:J125 H137 Q39:Q41 P48:Q48 Q49:Q51 Q58:Q59 Q61 P70:Q72 Q65:Q67 Q75 M308 P57 I145 H34:J36 L69:L72 M319 L74:L76 N11 L33:L42 P53:Q54 L44:L54 P62:Q62 J137 N69:N72 N74:N77 N18:N23 N26:N28 N30:N31 N33:N42 N44:N54 N57:N59 N61:N62 L57:L59 L61:L62 P44:P47 N65:N67 L64:L67 I64:J64 H59:J59 H57:H58 L92:L112 Q94 K319 P80:Q80 Q123 P52 N13:N15 H26:H31 I24:J33 J57:J58 H60:H62 J61:J62 J113 J132:J135 L14 L17:L23 L12 L25:L31 N83:N90 L120:L125 L83:L90 N92 N94:N125 P127:Q130 P136:Q138 P135 P132:Q134 P131 P85:Q90 P124:Q125 P92:Q92 P95:Q122 P229:Q230 P153:Q153 N303:N305 P215:Q216 N127:N149 O157:R213 H212:J213 P225:R228 R216 H148:J152 H307:Q307 H188 P151:R152 P149:R149 R222:R223 P237:R301 R306:R307 R229 R232:R235 N215:N301 H215:M305 P222:Q224 P217:R221 H189:J210 N157:N210 P154:R155 J188 P233:Q236 Q231:Q232 P303:R305 P302 H306:P306 P144:Q148 Q139:Q143 N151:O155 L212:L213 L127:L210 K9:K10 K83:K210 O10 O84:O149 O215:O305 N150:R150 N212:N213 N156:R156 M9:M10 M83:M210 K80:M80 H154:J187 H153:I153" formula="1"/>
    <ignoredError sqref="B10 C237 C195:D195 C262:D262 F306 F229 C163:D163 D238:D253 C202:D203 F303:F304 D191 C188:D188 D198 D200:D201 C185:D186 D196" numberStoredAsText="1"/>
    <ignoredError sqref="Q319" emptyCellReference="1"/>
    <ignoredError sqref="I188" formula="1" emptyCellReferenc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5B5B8-A362-4245-BB90-FA1A271264B8}">
  <sheetPr>
    <tabColor rgb="FFE1C1D6"/>
  </sheetPr>
  <dimension ref="A1:X149"/>
  <sheetViews>
    <sheetView topLeftCell="I1" zoomScale="90" zoomScaleNormal="90" workbookViewId="0">
      <selection activeCell="P7" sqref="P7"/>
    </sheetView>
  </sheetViews>
  <sheetFormatPr baseColWidth="10" defaultColWidth="11.5703125" defaultRowHeight="15" x14ac:dyDescent="0.25"/>
  <cols>
    <col min="1" max="1" width="35.140625" style="553" customWidth="1"/>
    <col min="2" max="4" width="16.140625" style="553" hidden="1" customWidth="1"/>
    <col min="5" max="5" width="18.28515625" style="553" hidden="1" customWidth="1"/>
    <col min="6" max="9" width="15" style="553" customWidth="1"/>
    <col min="10" max="11" width="11.5703125" style="553"/>
    <col min="12" max="12" width="18.85546875" style="553" customWidth="1"/>
    <col min="13" max="13" width="0" style="553" hidden="1" customWidth="1"/>
    <col min="14" max="15" width="11.5703125" style="553"/>
    <col min="16" max="16" width="19.7109375" style="553" customWidth="1"/>
    <col min="17" max="20" width="16.5703125" style="553" hidden="1" customWidth="1"/>
    <col min="21" max="21" width="15.28515625" style="52" customWidth="1"/>
    <col min="22" max="22" width="12" style="553" customWidth="1"/>
    <col min="23" max="23" width="12.42578125" style="553" customWidth="1"/>
    <col min="24" max="24" width="18.42578125" style="553" customWidth="1"/>
    <col min="25" max="16384" width="11.5703125" style="553"/>
  </cols>
  <sheetData>
    <row r="1" spans="1:24" ht="13.5" x14ac:dyDescent="0.25">
      <c r="A1" s="1267" t="s">
        <v>0</v>
      </c>
      <c r="B1" s="1267"/>
      <c r="C1" s="1267"/>
      <c r="D1" s="1267"/>
      <c r="E1" s="1267"/>
      <c r="F1" s="1267"/>
      <c r="G1" s="1267"/>
      <c r="H1" s="906">
        <v>1000</v>
      </c>
      <c r="I1" s="906">
        <v>1</v>
      </c>
      <c r="L1" s="907" t="s">
        <v>136</v>
      </c>
      <c r="M1" s="908">
        <v>1000</v>
      </c>
      <c r="N1" s="908">
        <v>1</v>
      </c>
      <c r="P1" s="981" t="s">
        <v>136</v>
      </c>
      <c r="Q1" s="981"/>
      <c r="R1" s="981"/>
      <c r="S1" s="981"/>
      <c r="T1" s="981"/>
      <c r="U1" s="981"/>
      <c r="V1" s="981"/>
      <c r="W1" s="904">
        <v>1000</v>
      </c>
      <c r="X1" s="904">
        <v>1</v>
      </c>
    </row>
    <row r="2" spans="1:24" ht="13.5" x14ac:dyDescent="0.25">
      <c r="A2" s="909" t="s">
        <v>339</v>
      </c>
      <c r="B2" s="903" t="s">
        <v>343</v>
      </c>
      <c r="C2" s="903" t="s">
        <v>341</v>
      </c>
      <c r="D2" s="903" t="s">
        <v>340</v>
      </c>
      <c r="E2" s="903" t="s">
        <v>409</v>
      </c>
      <c r="F2" s="903" t="s">
        <v>935</v>
      </c>
      <c r="G2" s="903" t="s">
        <v>933</v>
      </c>
      <c r="H2" s="903" t="s">
        <v>932</v>
      </c>
      <c r="I2" s="903" t="s">
        <v>934</v>
      </c>
      <c r="L2" s="904" t="s">
        <v>339</v>
      </c>
      <c r="M2" s="904" t="s">
        <v>341</v>
      </c>
      <c r="N2" s="904" t="s">
        <v>933</v>
      </c>
      <c r="P2" s="904" t="s">
        <v>339</v>
      </c>
      <c r="Q2" s="904" t="s">
        <v>343</v>
      </c>
      <c r="R2" s="904" t="s">
        <v>341</v>
      </c>
      <c r="S2" s="904" t="s">
        <v>340</v>
      </c>
      <c r="T2" s="904" t="s">
        <v>409</v>
      </c>
      <c r="U2" s="904" t="s">
        <v>935</v>
      </c>
      <c r="V2" s="904" t="s">
        <v>933</v>
      </c>
      <c r="W2" s="904" t="s">
        <v>932</v>
      </c>
      <c r="X2" s="904" t="s">
        <v>934</v>
      </c>
    </row>
    <row r="3" spans="1:24" ht="13.5" x14ac:dyDescent="0.25">
      <c r="A3" s="910" t="s">
        <v>459</v>
      </c>
      <c r="B3" s="910">
        <v>19823098000</v>
      </c>
      <c r="C3" s="910">
        <v>1357754152</v>
      </c>
      <c r="D3" s="910">
        <v>1357754152</v>
      </c>
      <c r="E3" s="910">
        <v>18465343848</v>
      </c>
      <c r="F3" s="910">
        <f>+B3/$H$1*$I$1</f>
        <v>19823098</v>
      </c>
      <c r="G3" s="910">
        <f t="shared" ref="G3:I3" si="0">+C3/$H$1*$I$1</f>
        <v>1357754.152</v>
      </c>
      <c r="H3" s="910">
        <f t="shared" si="0"/>
        <v>1357754.152</v>
      </c>
      <c r="I3" s="910">
        <f t="shared" si="0"/>
        <v>18465343.848000001</v>
      </c>
      <c r="L3" s="544" t="s">
        <v>459</v>
      </c>
      <c r="M3" s="545">
        <v>1343168765</v>
      </c>
      <c r="N3" s="545">
        <f>+M3/$M$1*$N$1</f>
        <v>1343168.7649999999</v>
      </c>
      <c r="P3" s="544" t="s">
        <v>459</v>
      </c>
      <c r="Q3" s="545">
        <v>19823098000</v>
      </c>
      <c r="R3" s="545">
        <v>2700922917</v>
      </c>
      <c r="S3" s="545">
        <v>2700922917</v>
      </c>
      <c r="T3" s="545">
        <v>17122175083</v>
      </c>
      <c r="U3" s="545">
        <f>+Q3/$W$1*$X$1</f>
        <v>19823098</v>
      </c>
      <c r="V3" s="914">
        <f t="shared" ref="V3:X3" si="1">+R3/$W$1*$X$1</f>
        <v>2700922.9169999999</v>
      </c>
      <c r="W3" s="914">
        <f t="shared" si="1"/>
        <v>2700922.9169999999</v>
      </c>
      <c r="X3" s="914">
        <f t="shared" si="1"/>
        <v>17122175.083000001</v>
      </c>
    </row>
    <row r="4" spans="1:24" ht="13.5" x14ac:dyDescent="0.25">
      <c r="A4" s="910" t="s">
        <v>458</v>
      </c>
      <c r="B4" s="910">
        <v>803888112</v>
      </c>
      <c r="C4" s="910">
        <v>49432488</v>
      </c>
      <c r="D4" s="910">
        <v>49432488</v>
      </c>
      <c r="E4" s="910">
        <v>754455624</v>
      </c>
      <c r="F4" s="910">
        <f t="shared" ref="F4:F67" si="2">+B4/$H$1*$I$1</f>
        <v>803888.11199999996</v>
      </c>
      <c r="G4" s="910">
        <f t="shared" ref="G4:G67" si="3">+C4/$H$1*$I$1</f>
        <v>49432.487999999998</v>
      </c>
      <c r="H4" s="910">
        <f t="shared" ref="H4:H67" si="4">+D4/$H$1*$I$1</f>
        <v>49432.487999999998</v>
      </c>
      <c r="I4" s="910">
        <f t="shared" ref="I4:I67" si="5">+E4/$H$1*$I$1</f>
        <v>754455.62399999995</v>
      </c>
      <c r="L4" s="544" t="s">
        <v>458</v>
      </c>
      <c r="M4" s="545">
        <v>48944065</v>
      </c>
      <c r="N4" s="545">
        <f t="shared" ref="N4:N67" si="6">+M4/$M$1*$N$1</f>
        <v>48944.065000000002</v>
      </c>
      <c r="P4" s="544" t="s">
        <v>458</v>
      </c>
      <c r="Q4" s="545">
        <v>803888112</v>
      </c>
      <c r="R4" s="545">
        <v>98376553</v>
      </c>
      <c r="S4" s="545">
        <v>98376553</v>
      </c>
      <c r="T4" s="545">
        <v>705511559</v>
      </c>
      <c r="U4" s="545">
        <f t="shared" ref="U4:U67" si="7">+Q4/$W$1*$X$1</f>
        <v>803888.11199999996</v>
      </c>
      <c r="V4" s="914">
        <f t="shared" ref="V4:V67" si="8">+R4/$W$1*$X$1</f>
        <v>98376.553</v>
      </c>
      <c r="W4" s="914">
        <f t="shared" ref="W4:W67" si="9">+S4/$W$1*$X$1</f>
        <v>98376.553</v>
      </c>
      <c r="X4" s="914">
        <f t="shared" ref="X4:X67" si="10">+T4/$W$1*$X$1</f>
        <v>705511.55900000001</v>
      </c>
    </row>
    <row r="5" spans="1:24" ht="13.5" x14ac:dyDescent="0.25">
      <c r="A5" s="910" t="s">
        <v>457</v>
      </c>
      <c r="B5" s="910">
        <v>628990025</v>
      </c>
      <c r="C5" s="910">
        <v>40787560</v>
      </c>
      <c r="D5" s="910">
        <v>40787560</v>
      </c>
      <c r="E5" s="910">
        <v>588202465</v>
      </c>
      <c r="F5" s="910">
        <f t="shared" si="2"/>
        <v>628990.02500000002</v>
      </c>
      <c r="G5" s="910">
        <f t="shared" si="3"/>
        <v>40787.56</v>
      </c>
      <c r="H5" s="910">
        <f t="shared" si="4"/>
        <v>40787.56</v>
      </c>
      <c r="I5" s="910">
        <f t="shared" si="5"/>
        <v>588202.46499999997</v>
      </c>
      <c r="L5" s="544" t="s">
        <v>457</v>
      </c>
      <c r="M5" s="545">
        <v>40787560</v>
      </c>
      <c r="N5" s="545">
        <f t="shared" si="6"/>
        <v>40787.56</v>
      </c>
      <c r="P5" s="544" t="s">
        <v>457</v>
      </c>
      <c r="Q5" s="545">
        <v>628990025</v>
      </c>
      <c r="R5" s="545">
        <v>81575120</v>
      </c>
      <c r="S5" s="545">
        <v>81575120</v>
      </c>
      <c r="T5" s="545">
        <v>547414905</v>
      </c>
      <c r="U5" s="545">
        <f t="shared" si="7"/>
        <v>628990.02500000002</v>
      </c>
      <c r="V5" s="914">
        <f t="shared" si="8"/>
        <v>81575.12</v>
      </c>
      <c r="W5" s="914">
        <f t="shared" si="9"/>
        <v>81575.12</v>
      </c>
      <c r="X5" s="914">
        <f t="shared" si="10"/>
        <v>547414.90500000003</v>
      </c>
    </row>
    <row r="6" spans="1:24" ht="13.5" x14ac:dyDescent="0.25">
      <c r="A6" s="910" t="s">
        <v>456</v>
      </c>
      <c r="B6" s="910">
        <v>116011474</v>
      </c>
      <c r="C6" s="910">
        <v>8300178</v>
      </c>
      <c r="D6" s="910">
        <v>8300178</v>
      </c>
      <c r="E6" s="910">
        <v>107711296</v>
      </c>
      <c r="F6" s="910">
        <f t="shared" si="2"/>
        <v>116011.474</v>
      </c>
      <c r="G6" s="910">
        <f t="shared" si="3"/>
        <v>8300.1779999999999</v>
      </c>
      <c r="H6" s="910">
        <f t="shared" si="4"/>
        <v>8300.1779999999999</v>
      </c>
      <c r="I6" s="910">
        <f t="shared" si="5"/>
        <v>107711.296</v>
      </c>
      <c r="L6" s="544" t="s">
        <v>456</v>
      </c>
      <c r="M6" s="545">
        <v>8300178</v>
      </c>
      <c r="N6" s="545">
        <f t="shared" si="6"/>
        <v>8300.1779999999999</v>
      </c>
      <c r="P6" s="544" t="s">
        <v>456</v>
      </c>
      <c r="Q6" s="545">
        <v>116011474</v>
      </c>
      <c r="R6" s="545">
        <v>16600356</v>
      </c>
      <c r="S6" s="545">
        <v>16600356</v>
      </c>
      <c r="T6" s="545">
        <v>99411118</v>
      </c>
      <c r="U6" s="545">
        <f t="shared" si="7"/>
        <v>116011.474</v>
      </c>
      <c r="V6" s="914">
        <f t="shared" si="8"/>
        <v>16600.356</v>
      </c>
      <c r="W6" s="914">
        <f t="shared" si="9"/>
        <v>16600.356</v>
      </c>
      <c r="X6" s="914">
        <f t="shared" si="10"/>
        <v>99411.118000000002</v>
      </c>
    </row>
    <row r="7" spans="1:24" ht="13.5" x14ac:dyDescent="0.25">
      <c r="A7" s="910" t="s">
        <v>520</v>
      </c>
      <c r="B7" s="910">
        <v>16073669</v>
      </c>
      <c r="C7" s="910">
        <v>1065564</v>
      </c>
      <c r="D7" s="910">
        <v>1065564</v>
      </c>
      <c r="E7" s="910">
        <v>15008105</v>
      </c>
      <c r="F7" s="910">
        <f t="shared" si="2"/>
        <v>16073.669</v>
      </c>
      <c r="G7" s="910">
        <f t="shared" si="3"/>
        <v>1065.5640000000001</v>
      </c>
      <c r="H7" s="910">
        <f t="shared" si="4"/>
        <v>1065.5640000000001</v>
      </c>
      <c r="I7" s="910">
        <f t="shared" si="5"/>
        <v>15008.105</v>
      </c>
      <c r="L7" s="544" t="s">
        <v>520</v>
      </c>
      <c r="M7" s="545">
        <v>1065564</v>
      </c>
      <c r="N7" s="545">
        <f t="shared" si="6"/>
        <v>1065.5640000000001</v>
      </c>
      <c r="P7" s="544" t="s">
        <v>520</v>
      </c>
      <c r="Q7" s="545">
        <v>16073669</v>
      </c>
      <c r="R7" s="545">
        <v>2131128</v>
      </c>
      <c r="S7" s="545">
        <v>2131128</v>
      </c>
      <c r="T7" s="545">
        <v>13942541</v>
      </c>
      <c r="U7" s="545">
        <f t="shared" si="7"/>
        <v>16073.669</v>
      </c>
      <c r="V7" s="914">
        <f t="shared" si="8"/>
        <v>2131.1280000000002</v>
      </c>
      <c r="W7" s="914">
        <f t="shared" si="9"/>
        <v>2131.1280000000002</v>
      </c>
      <c r="X7" s="914">
        <f t="shared" si="10"/>
        <v>13942.540999999999</v>
      </c>
    </row>
    <row r="8" spans="1:24" ht="13.5" x14ac:dyDescent="0.25">
      <c r="A8" s="910" t="s">
        <v>455</v>
      </c>
      <c r="B8" s="910">
        <v>85149135</v>
      </c>
      <c r="C8" s="910">
        <v>6161689</v>
      </c>
      <c r="D8" s="910">
        <v>6161689</v>
      </c>
      <c r="E8" s="910">
        <v>78987446</v>
      </c>
      <c r="F8" s="910">
        <f t="shared" si="2"/>
        <v>85149.134999999995</v>
      </c>
      <c r="G8" s="910">
        <f t="shared" si="3"/>
        <v>6161.6890000000003</v>
      </c>
      <c r="H8" s="910">
        <f t="shared" si="4"/>
        <v>6161.6890000000003</v>
      </c>
      <c r="I8" s="910">
        <f t="shared" si="5"/>
        <v>78987.445999999996</v>
      </c>
      <c r="L8" s="544" t="s">
        <v>455</v>
      </c>
      <c r="M8" s="545">
        <v>6161689</v>
      </c>
      <c r="N8" s="545">
        <f t="shared" si="6"/>
        <v>6161.6890000000003</v>
      </c>
      <c r="P8" s="544" t="s">
        <v>455</v>
      </c>
      <c r="Q8" s="545">
        <v>85149135</v>
      </c>
      <c r="R8" s="545">
        <v>12323378</v>
      </c>
      <c r="S8" s="545">
        <v>12323378</v>
      </c>
      <c r="T8" s="545">
        <v>72825757</v>
      </c>
      <c r="U8" s="545">
        <f t="shared" si="7"/>
        <v>85149.134999999995</v>
      </c>
      <c r="V8" s="914">
        <f t="shared" si="8"/>
        <v>12323.378000000001</v>
      </c>
      <c r="W8" s="914">
        <f t="shared" si="9"/>
        <v>12323.378000000001</v>
      </c>
      <c r="X8" s="914">
        <f t="shared" si="10"/>
        <v>72825.756999999998</v>
      </c>
    </row>
    <row r="9" spans="1:24" ht="13.5" x14ac:dyDescent="0.25">
      <c r="A9" s="910" t="s">
        <v>975</v>
      </c>
      <c r="B9" s="910">
        <v>163035</v>
      </c>
      <c r="C9" s="910">
        <v>0</v>
      </c>
      <c r="D9" s="910">
        <v>0</v>
      </c>
      <c r="E9" s="910">
        <v>163035</v>
      </c>
      <c r="F9" s="910">
        <f t="shared" si="2"/>
        <v>163.035</v>
      </c>
      <c r="G9" s="910">
        <f t="shared" si="3"/>
        <v>0</v>
      </c>
      <c r="H9" s="910">
        <f t="shared" si="4"/>
        <v>0</v>
      </c>
      <c r="I9" s="910">
        <f t="shared" si="5"/>
        <v>163.035</v>
      </c>
      <c r="L9" s="544" t="s">
        <v>521</v>
      </c>
      <c r="M9" s="545">
        <v>850505</v>
      </c>
      <c r="N9" s="545">
        <f t="shared" si="6"/>
        <v>850.505</v>
      </c>
      <c r="P9" s="544" t="s">
        <v>975</v>
      </c>
      <c r="Q9" s="545">
        <v>163035</v>
      </c>
      <c r="R9" s="545">
        <v>0</v>
      </c>
      <c r="S9" s="545">
        <v>0</v>
      </c>
      <c r="T9" s="545">
        <v>163035</v>
      </c>
      <c r="U9" s="545">
        <f t="shared" si="7"/>
        <v>163.035</v>
      </c>
      <c r="V9" s="914">
        <f t="shared" si="8"/>
        <v>0</v>
      </c>
      <c r="W9" s="914">
        <f t="shared" si="9"/>
        <v>0</v>
      </c>
      <c r="X9" s="914">
        <f t="shared" si="10"/>
        <v>163.035</v>
      </c>
    </row>
    <row r="10" spans="1:24" ht="13.5" x14ac:dyDescent="0.25">
      <c r="A10" s="910" t="s">
        <v>521</v>
      </c>
      <c r="B10" s="910">
        <v>9786439</v>
      </c>
      <c r="C10" s="910">
        <v>850505</v>
      </c>
      <c r="D10" s="910">
        <v>850505</v>
      </c>
      <c r="E10" s="910">
        <v>8935934</v>
      </c>
      <c r="F10" s="910">
        <f t="shared" si="2"/>
        <v>9786.4390000000003</v>
      </c>
      <c r="G10" s="910">
        <f t="shared" si="3"/>
        <v>850.505</v>
      </c>
      <c r="H10" s="910">
        <f t="shared" si="4"/>
        <v>850.505</v>
      </c>
      <c r="I10" s="910">
        <f t="shared" si="5"/>
        <v>8935.9339999999993</v>
      </c>
      <c r="L10" s="544" t="s">
        <v>522</v>
      </c>
      <c r="M10" s="545">
        <v>185985</v>
      </c>
      <c r="N10" s="545">
        <f t="shared" si="6"/>
        <v>185.98500000000001</v>
      </c>
      <c r="P10" s="544" t="s">
        <v>521</v>
      </c>
      <c r="Q10" s="545">
        <v>9786439</v>
      </c>
      <c r="R10" s="545">
        <v>1701010</v>
      </c>
      <c r="S10" s="545">
        <v>1701010</v>
      </c>
      <c r="T10" s="545">
        <v>8085429</v>
      </c>
      <c r="U10" s="545">
        <f t="shared" si="7"/>
        <v>9786.4390000000003</v>
      </c>
      <c r="V10" s="914">
        <f t="shared" si="8"/>
        <v>1701.01</v>
      </c>
      <c r="W10" s="914">
        <f t="shared" si="9"/>
        <v>1701.01</v>
      </c>
      <c r="X10" s="914">
        <f t="shared" si="10"/>
        <v>8085.4290000000001</v>
      </c>
    </row>
    <row r="11" spans="1:24" ht="13.5" x14ac:dyDescent="0.25">
      <c r="A11" s="910" t="s">
        <v>522</v>
      </c>
      <c r="B11" s="910">
        <v>2224879</v>
      </c>
      <c r="C11" s="910">
        <v>185985</v>
      </c>
      <c r="D11" s="910">
        <v>185985</v>
      </c>
      <c r="E11" s="910">
        <v>2038894</v>
      </c>
      <c r="F11" s="910">
        <f t="shared" si="2"/>
        <v>2224.8789999999999</v>
      </c>
      <c r="G11" s="910">
        <f t="shared" si="3"/>
        <v>185.98500000000001</v>
      </c>
      <c r="H11" s="910">
        <f t="shared" si="4"/>
        <v>185.98500000000001</v>
      </c>
      <c r="I11" s="910">
        <f t="shared" si="5"/>
        <v>2038.894</v>
      </c>
      <c r="L11" s="544" t="s">
        <v>523</v>
      </c>
      <c r="M11" s="545">
        <v>3869143</v>
      </c>
      <c r="N11" s="545">
        <f t="shared" si="6"/>
        <v>3869.143</v>
      </c>
      <c r="P11" s="544" t="s">
        <v>522</v>
      </c>
      <c r="Q11" s="545">
        <v>2224879</v>
      </c>
      <c r="R11" s="545">
        <v>371970</v>
      </c>
      <c r="S11" s="545">
        <v>371970</v>
      </c>
      <c r="T11" s="545">
        <v>1852909</v>
      </c>
      <c r="U11" s="545">
        <f t="shared" si="7"/>
        <v>2224.8789999999999</v>
      </c>
      <c r="V11" s="914">
        <f t="shared" si="8"/>
        <v>371.97</v>
      </c>
      <c r="W11" s="914">
        <f t="shared" si="9"/>
        <v>371.97</v>
      </c>
      <c r="X11" s="914">
        <f t="shared" si="10"/>
        <v>1852.9090000000001</v>
      </c>
    </row>
    <row r="12" spans="1:24" ht="13.5" x14ac:dyDescent="0.25">
      <c r="A12" s="910" t="s">
        <v>523</v>
      </c>
      <c r="B12" s="910">
        <v>53254192</v>
      </c>
      <c r="C12" s="910">
        <v>3869143</v>
      </c>
      <c r="D12" s="910">
        <v>3869143</v>
      </c>
      <c r="E12" s="910">
        <v>49385049</v>
      </c>
      <c r="F12" s="910">
        <f t="shared" si="2"/>
        <v>53254.192000000003</v>
      </c>
      <c r="G12" s="910">
        <f t="shared" si="3"/>
        <v>3869.143</v>
      </c>
      <c r="H12" s="910">
        <f t="shared" si="4"/>
        <v>3869.143</v>
      </c>
      <c r="I12" s="910">
        <f t="shared" si="5"/>
        <v>49385.048999999999</v>
      </c>
      <c r="L12" s="544" t="s">
        <v>524</v>
      </c>
      <c r="M12" s="545">
        <v>5366349</v>
      </c>
      <c r="N12" s="545">
        <f t="shared" si="6"/>
        <v>5366.3490000000002</v>
      </c>
      <c r="P12" s="544" t="s">
        <v>523</v>
      </c>
      <c r="Q12" s="545">
        <v>53254192</v>
      </c>
      <c r="R12" s="545">
        <v>7738286</v>
      </c>
      <c r="S12" s="545">
        <v>7738286</v>
      </c>
      <c r="T12" s="545">
        <v>45515906</v>
      </c>
      <c r="U12" s="545">
        <f t="shared" si="7"/>
        <v>53254.192000000003</v>
      </c>
      <c r="V12" s="914">
        <f t="shared" si="8"/>
        <v>7738.2860000000001</v>
      </c>
      <c r="W12" s="914">
        <f t="shared" si="9"/>
        <v>7738.2860000000001</v>
      </c>
      <c r="X12" s="914">
        <f t="shared" si="10"/>
        <v>45515.906000000003</v>
      </c>
    </row>
    <row r="13" spans="1:24" ht="13.5" x14ac:dyDescent="0.25">
      <c r="A13" s="910" t="s">
        <v>524</v>
      </c>
      <c r="B13" s="910">
        <v>78237199</v>
      </c>
      <c r="C13" s="910">
        <v>5366349</v>
      </c>
      <c r="D13" s="910">
        <v>5366349</v>
      </c>
      <c r="E13" s="910">
        <v>72870850</v>
      </c>
      <c r="F13" s="910">
        <f t="shared" si="2"/>
        <v>78237.198999999993</v>
      </c>
      <c r="G13" s="910">
        <f t="shared" si="3"/>
        <v>5366.3490000000002</v>
      </c>
      <c r="H13" s="910">
        <f t="shared" si="4"/>
        <v>5366.3490000000002</v>
      </c>
      <c r="I13" s="910">
        <f t="shared" si="5"/>
        <v>72870.850000000006</v>
      </c>
      <c r="L13" s="544" t="s">
        <v>525</v>
      </c>
      <c r="M13" s="545">
        <v>13942491</v>
      </c>
      <c r="N13" s="545">
        <f t="shared" si="6"/>
        <v>13942.491</v>
      </c>
      <c r="P13" s="544" t="s">
        <v>524</v>
      </c>
      <c r="Q13" s="545">
        <v>78237199</v>
      </c>
      <c r="R13" s="545">
        <v>10732698</v>
      </c>
      <c r="S13" s="545">
        <v>10732698</v>
      </c>
      <c r="T13" s="545">
        <v>67504501</v>
      </c>
      <c r="U13" s="545">
        <f t="shared" si="7"/>
        <v>78237.198999999993</v>
      </c>
      <c r="V13" s="914">
        <f t="shared" si="8"/>
        <v>10732.698</v>
      </c>
      <c r="W13" s="914">
        <f t="shared" si="9"/>
        <v>10732.698</v>
      </c>
      <c r="X13" s="914">
        <f t="shared" si="10"/>
        <v>67504.501000000004</v>
      </c>
    </row>
    <row r="14" spans="1:24" ht="13.5" x14ac:dyDescent="0.25">
      <c r="A14" s="910" t="s">
        <v>525</v>
      </c>
      <c r="B14" s="910">
        <v>193572617</v>
      </c>
      <c r="C14" s="910">
        <v>13942491</v>
      </c>
      <c r="D14" s="910">
        <v>13942491</v>
      </c>
      <c r="E14" s="910">
        <v>179630126</v>
      </c>
      <c r="F14" s="910">
        <f t="shared" si="2"/>
        <v>193572.617</v>
      </c>
      <c r="G14" s="910">
        <f t="shared" si="3"/>
        <v>13942.491</v>
      </c>
      <c r="H14" s="910">
        <f t="shared" si="4"/>
        <v>13942.491</v>
      </c>
      <c r="I14" s="910">
        <f t="shared" si="5"/>
        <v>179630.12599999999</v>
      </c>
      <c r="L14" s="544" t="s">
        <v>527</v>
      </c>
      <c r="M14" s="545">
        <v>1045656</v>
      </c>
      <c r="N14" s="545">
        <f t="shared" si="6"/>
        <v>1045.6559999999999</v>
      </c>
      <c r="P14" s="544" t="s">
        <v>525</v>
      </c>
      <c r="Q14" s="545">
        <v>193572617</v>
      </c>
      <c r="R14" s="545">
        <v>27884982</v>
      </c>
      <c r="S14" s="545">
        <v>27884982</v>
      </c>
      <c r="T14" s="545">
        <v>165687635</v>
      </c>
      <c r="U14" s="545">
        <f t="shared" si="7"/>
        <v>193572.617</v>
      </c>
      <c r="V14" s="914">
        <f t="shared" si="8"/>
        <v>27884.982</v>
      </c>
      <c r="W14" s="914">
        <f t="shared" si="9"/>
        <v>27884.982</v>
      </c>
      <c r="X14" s="914">
        <f t="shared" si="10"/>
        <v>165687.63500000001</v>
      </c>
    </row>
    <row r="15" spans="1:24" ht="13.5" x14ac:dyDescent="0.25">
      <c r="A15" s="910" t="s">
        <v>526</v>
      </c>
      <c r="B15" s="910">
        <v>62483361</v>
      </c>
      <c r="C15" s="910">
        <v>0</v>
      </c>
      <c r="D15" s="910">
        <v>0</v>
      </c>
      <c r="E15" s="910">
        <v>62483361</v>
      </c>
      <c r="F15" s="910">
        <f t="shared" si="2"/>
        <v>62483.360999999997</v>
      </c>
      <c r="G15" s="910">
        <f t="shared" si="3"/>
        <v>0</v>
      </c>
      <c r="H15" s="910">
        <f t="shared" si="4"/>
        <v>0</v>
      </c>
      <c r="I15" s="910">
        <f t="shared" si="5"/>
        <v>62483.360999999997</v>
      </c>
      <c r="L15" s="544" t="s">
        <v>344</v>
      </c>
      <c r="M15" s="545">
        <v>1104197</v>
      </c>
      <c r="N15" s="545">
        <f t="shared" si="6"/>
        <v>1104.1969999999999</v>
      </c>
      <c r="P15" s="544" t="s">
        <v>526</v>
      </c>
      <c r="Q15" s="545">
        <v>62483361</v>
      </c>
      <c r="R15" s="545">
        <v>0</v>
      </c>
      <c r="S15" s="545">
        <v>0</v>
      </c>
      <c r="T15" s="545">
        <v>62483361</v>
      </c>
      <c r="U15" s="545">
        <f t="shared" si="7"/>
        <v>62483.360999999997</v>
      </c>
      <c r="V15" s="914">
        <f t="shared" si="8"/>
        <v>0</v>
      </c>
      <c r="W15" s="914">
        <f t="shared" si="9"/>
        <v>0</v>
      </c>
      <c r="X15" s="914">
        <f t="shared" si="10"/>
        <v>62483.360999999997</v>
      </c>
    </row>
    <row r="16" spans="1:24" ht="13.5" x14ac:dyDescent="0.25">
      <c r="A16" s="910" t="s">
        <v>527</v>
      </c>
      <c r="B16" s="910">
        <v>12034025</v>
      </c>
      <c r="C16" s="910">
        <v>1045656</v>
      </c>
      <c r="D16" s="910">
        <v>1045656</v>
      </c>
      <c r="E16" s="910">
        <v>10988369</v>
      </c>
      <c r="F16" s="910">
        <f t="shared" si="2"/>
        <v>12034.025</v>
      </c>
      <c r="G16" s="910">
        <f t="shared" si="3"/>
        <v>1045.6559999999999</v>
      </c>
      <c r="H16" s="910">
        <f t="shared" si="4"/>
        <v>1045.6559999999999</v>
      </c>
      <c r="I16" s="910">
        <f t="shared" si="5"/>
        <v>10988.369000000001</v>
      </c>
      <c r="L16" s="544" t="s">
        <v>529</v>
      </c>
      <c r="M16" s="545">
        <v>1104197</v>
      </c>
      <c r="N16" s="545">
        <f t="shared" si="6"/>
        <v>1104.1969999999999</v>
      </c>
      <c r="P16" s="544" t="s">
        <v>527</v>
      </c>
      <c r="Q16" s="545">
        <v>12034025</v>
      </c>
      <c r="R16" s="545">
        <v>2091312</v>
      </c>
      <c r="S16" s="545">
        <v>2091312</v>
      </c>
      <c r="T16" s="545">
        <v>9942713</v>
      </c>
      <c r="U16" s="545">
        <f t="shared" si="7"/>
        <v>12034.025</v>
      </c>
      <c r="V16" s="914">
        <f t="shared" si="8"/>
        <v>2091.3119999999999</v>
      </c>
      <c r="W16" s="914">
        <f t="shared" si="9"/>
        <v>2091.3119999999999</v>
      </c>
      <c r="X16" s="914">
        <f t="shared" si="10"/>
        <v>9942.7129999999997</v>
      </c>
    </row>
    <row r="17" spans="1:24" ht="13.5" x14ac:dyDescent="0.25">
      <c r="A17" s="910" t="s">
        <v>344</v>
      </c>
      <c r="B17" s="910">
        <v>19540340</v>
      </c>
      <c r="C17" s="910">
        <v>1334019</v>
      </c>
      <c r="D17" s="910">
        <v>1334019</v>
      </c>
      <c r="E17" s="910">
        <v>18206321</v>
      </c>
      <c r="F17" s="910">
        <f t="shared" si="2"/>
        <v>19540.34</v>
      </c>
      <c r="G17" s="910">
        <f t="shared" si="3"/>
        <v>1334.019</v>
      </c>
      <c r="H17" s="910">
        <f t="shared" si="4"/>
        <v>1334.019</v>
      </c>
      <c r="I17" s="910">
        <f t="shared" si="5"/>
        <v>18206.321</v>
      </c>
      <c r="L17" s="544" t="s">
        <v>346</v>
      </c>
      <c r="M17" s="545">
        <v>7052308</v>
      </c>
      <c r="N17" s="545">
        <f t="shared" si="6"/>
        <v>7052.308</v>
      </c>
      <c r="P17" s="544" t="s">
        <v>344</v>
      </c>
      <c r="Q17" s="545">
        <v>19540340</v>
      </c>
      <c r="R17" s="545">
        <v>2438216</v>
      </c>
      <c r="S17" s="545">
        <v>2438216</v>
      </c>
      <c r="T17" s="545">
        <v>17102124</v>
      </c>
      <c r="U17" s="545">
        <f t="shared" si="7"/>
        <v>19540.34</v>
      </c>
      <c r="V17" s="914">
        <f t="shared" si="8"/>
        <v>2438.2159999999999</v>
      </c>
      <c r="W17" s="914">
        <f t="shared" si="9"/>
        <v>2438.2159999999999</v>
      </c>
      <c r="X17" s="914">
        <f t="shared" si="10"/>
        <v>17102.124</v>
      </c>
    </row>
    <row r="18" spans="1:24" ht="13.5" x14ac:dyDescent="0.25">
      <c r="A18" s="910" t="s">
        <v>528</v>
      </c>
      <c r="B18" s="910">
        <v>1667615</v>
      </c>
      <c r="C18" s="910">
        <v>130509</v>
      </c>
      <c r="D18" s="910">
        <v>130509</v>
      </c>
      <c r="E18" s="910">
        <v>1537106</v>
      </c>
      <c r="F18" s="910">
        <f t="shared" si="2"/>
        <v>1667.615</v>
      </c>
      <c r="G18" s="910">
        <f t="shared" si="3"/>
        <v>130.50899999999999</v>
      </c>
      <c r="H18" s="910">
        <f t="shared" si="4"/>
        <v>130.50899999999999</v>
      </c>
      <c r="I18" s="910">
        <f t="shared" si="5"/>
        <v>1537.106</v>
      </c>
      <c r="L18" s="544" t="s">
        <v>532</v>
      </c>
      <c r="M18" s="545">
        <v>6519711</v>
      </c>
      <c r="N18" s="545">
        <f t="shared" si="6"/>
        <v>6519.7110000000002</v>
      </c>
      <c r="P18" s="544" t="s">
        <v>528</v>
      </c>
      <c r="Q18" s="545">
        <v>1667615</v>
      </c>
      <c r="R18" s="545">
        <v>130509</v>
      </c>
      <c r="S18" s="545">
        <v>130509</v>
      </c>
      <c r="T18" s="545">
        <v>1537106</v>
      </c>
      <c r="U18" s="545">
        <f t="shared" si="7"/>
        <v>1667.615</v>
      </c>
      <c r="V18" s="914">
        <f t="shared" si="8"/>
        <v>130.50899999999999</v>
      </c>
      <c r="W18" s="914">
        <f t="shared" si="9"/>
        <v>130.50899999999999</v>
      </c>
      <c r="X18" s="914">
        <f t="shared" si="10"/>
        <v>1537.106</v>
      </c>
    </row>
    <row r="19" spans="1:24" ht="13.5" x14ac:dyDescent="0.25">
      <c r="A19" s="910" t="s">
        <v>529</v>
      </c>
      <c r="B19" s="910">
        <v>17872725</v>
      </c>
      <c r="C19" s="910">
        <v>1203510</v>
      </c>
      <c r="D19" s="910">
        <v>1203510</v>
      </c>
      <c r="E19" s="910">
        <v>16669215</v>
      </c>
      <c r="F19" s="910">
        <f t="shared" si="2"/>
        <v>17872.724999999999</v>
      </c>
      <c r="G19" s="910">
        <f t="shared" si="3"/>
        <v>1203.51</v>
      </c>
      <c r="H19" s="910">
        <f t="shared" si="4"/>
        <v>1203.51</v>
      </c>
      <c r="I19" s="910">
        <f t="shared" si="5"/>
        <v>16669.215</v>
      </c>
      <c r="L19" s="544" t="s">
        <v>584</v>
      </c>
      <c r="M19" s="545">
        <v>532597</v>
      </c>
      <c r="N19" s="545">
        <f t="shared" si="6"/>
        <v>532.59699999999998</v>
      </c>
      <c r="P19" s="544" t="s">
        <v>529</v>
      </c>
      <c r="Q19" s="545">
        <v>17872725</v>
      </c>
      <c r="R19" s="545">
        <v>2307707</v>
      </c>
      <c r="S19" s="545">
        <v>2307707</v>
      </c>
      <c r="T19" s="545">
        <v>15565018</v>
      </c>
      <c r="U19" s="545">
        <f t="shared" si="7"/>
        <v>17872.724999999999</v>
      </c>
      <c r="V19" s="914">
        <f t="shared" si="8"/>
        <v>2307.7069999999999</v>
      </c>
      <c r="W19" s="914">
        <f t="shared" si="9"/>
        <v>2307.7069999999999</v>
      </c>
      <c r="X19" s="914">
        <f t="shared" si="10"/>
        <v>15565.018</v>
      </c>
    </row>
    <row r="20" spans="1:24" ht="13.5" x14ac:dyDescent="0.25">
      <c r="A20" s="910" t="s">
        <v>530</v>
      </c>
      <c r="B20" s="910">
        <v>56619780</v>
      </c>
      <c r="C20" s="910">
        <v>0</v>
      </c>
      <c r="D20" s="910">
        <v>0</v>
      </c>
      <c r="E20" s="910">
        <v>56619780</v>
      </c>
      <c r="F20" s="910">
        <f t="shared" si="2"/>
        <v>56619.78</v>
      </c>
      <c r="G20" s="910">
        <f t="shared" si="3"/>
        <v>0</v>
      </c>
      <c r="H20" s="910">
        <f t="shared" si="4"/>
        <v>0</v>
      </c>
      <c r="I20" s="910">
        <f t="shared" si="5"/>
        <v>56619.78</v>
      </c>
      <c r="L20" s="544" t="s">
        <v>350</v>
      </c>
      <c r="M20" s="545">
        <v>1216706960</v>
      </c>
      <c r="N20" s="545">
        <f t="shared" si="6"/>
        <v>1216706.96</v>
      </c>
      <c r="P20" s="544" t="s">
        <v>530</v>
      </c>
      <c r="Q20" s="545">
        <v>56619780</v>
      </c>
      <c r="R20" s="545">
        <v>0</v>
      </c>
      <c r="S20" s="545">
        <v>0</v>
      </c>
      <c r="T20" s="545">
        <v>56619780</v>
      </c>
      <c r="U20" s="545">
        <f t="shared" si="7"/>
        <v>56619.78</v>
      </c>
      <c r="V20" s="914">
        <f t="shared" si="8"/>
        <v>0</v>
      </c>
      <c r="W20" s="914">
        <f t="shared" si="9"/>
        <v>0</v>
      </c>
      <c r="X20" s="914">
        <f t="shared" si="10"/>
        <v>56619.78</v>
      </c>
    </row>
    <row r="21" spans="1:24" ht="13.5" x14ac:dyDescent="0.25">
      <c r="A21" s="910" t="s">
        <v>531</v>
      </c>
      <c r="B21" s="910">
        <v>30187928</v>
      </c>
      <c r="C21" s="910">
        <v>0</v>
      </c>
      <c r="D21" s="910">
        <v>0</v>
      </c>
      <c r="E21" s="910">
        <v>30187928</v>
      </c>
      <c r="F21" s="910">
        <f t="shared" si="2"/>
        <v>30187.928</v>
      </c>
      <c r="G21" s="910">
        <f t="shared" si="3"/>
        <v>0</v>
      </c>
      <c r="H21" s="910">
        <f t="shared" si="4"/>
        <v>0</v>
      </c>
      <c r="I21" s="910">
        <f t="shared" si="5"/>
        <v>30187.928</v>
      </c>
      <c r="L21" s="544" t="s">
        <v>351</v>
      </c>
      <c r="M21" s="545">
        <v>1146159471</v>
      </c>
      <c r="N21" s="545">
        <f t="shared" si="6"/>
        <v>1146159.4709999999</v>
      </c>
      <c r="P21" s="544" t="s">
        <v>531</v>
      </c>
      <c r="Q21" s="545">
        <v>30187928</v>
      </c>
      <c r="R21" s="545">
        <v>0</v>
      </c>
      <c r="S21" s="545">
        <v>0</v>
      </c>
      <c r="T21" s="545">
        <v>30187928</v>
      </c>
      <c r="U21" s="545">
        <f t="shared" si="7"/>
        <v>30187.928</v>
      </c>
      <c r="V21" s="914">
        <f t="shared" si="8"/>
        <v>0</v>
      </c>
      <c r="W21" s="914">
        <f t="shared" si="9"/>
        <v>0</v>
      </c>
      <c r="X21" s="914">
        <f t="shared" si="10"/>
        <v>30187.928</v>
      </c>
    </row>
    <row r="22" spans="1:24" ht="13.5" x14ac:dyDescent="0.25">
      <c r="A22" s="910" t="s">
        <v>345</v>
      </c>
      <c r="B22" s="910">
        <v>26431852</v>
      </c>
      <c r="C22" s="910">
        <v>0</v>
      </c>
      <c r="D22" s="910">
        <v>0</v>
      </c>
      <c r="E22" s="910">
        <v>26431852</v>
      </c>
      <c r="F22" s="910">
        <f t="shared" si="2"/>
        <v>26431.851999999999</v>
      </c>
      <c r="G22" s="910">
        <f t="shared" si="3"/>
        <v>0</v>
      </c>
      <c r="H22" s="910">
        <f t="shared" si="4"/>
        <v>0</v>
      </c>
      <c r="I22" s="910">
        <f t="shared" si="5"/>
        <v>26431.851999999999</v>
      </c>
      <c r="L22" s="544" t="s">
        <v>352</v>
      </c>
      <c r="M22" s="545">
        <v>274451923</v>
      </c>
      <c r="N22" s="545">
        <f t="shared" si="6"/>
        <v>274451.92300000001</v>
      </c>
      <c r="P22" s="544" t="s">
        <v>345</v>
      </c>
      <c r="Q22" s="545">
        <v>26431852</v>
      </c>
      <c r="R22" s="545">
        <v>0</v>
      </c>
      <c r="S22" s="545">
        <v>0</v>
      </c>
      <c r="T22" s="545">
        <v>26431852</v>
      </c>
      <c r="U22" s="545">
        <f t="shared" si="7"/>
        <v>26431.851999999999</v>
      </c>
      <c r="V22" s="914">
        <f t="shared" si="8"/>
        <v>0</v>
      </c>
      <c r="W22" s="914">
        <f t="shared" si="9"/>
        <v>0</v>
      </c>
      <c r="X22" s="914">
        <f t="shared" si="10"/>
        <v>26431.851999999999</v>
      </c>
    </row>
    <row r="23" spans="1:24" ht="13.5" x14ac:dyDescent="0.25">
      <c r="A23" s="910" t="s">
        <v>346</v>
      </c>
      <c r="B23" s="910">
        <v>97527416</v>
      </c>
      <c r="C23" s="910">
        <v>7092505</v>
      </c>
      <c r="D23" s="910">
        <v>7092505</v>
      </c>
      <c r="E23" s="910">
        <v>90434911</v>
      </c>
      <c r="F23" s="910">
        <f t="shared" si="2"/>
        <v>97527.415999999997</v>
      </c>
      <c r="G23" s="910">
        <f t="shared" si="3"/>
        <v>7092.5050000000001</v>
      </c>
      <c r="H23" s="910">
        <f t="shared" si="4"/>
        <v>7092.5050000000001</v>
      </c>
      <c r="I23" s="910">
        <f t="shared" si="5"/>
        <v>90434.910999999993</v>
      </c>
      <c r="L23" s="544" t="s">
        <v>535</v>
      </c>
      <c r="M23" s="545">
        <v>12734592</v>
      </c>
      <c r="N23" s="545">
        <f t="shared" si="6"/>
        <v>12734.592000000001</v>
      </c>
      <c r="P23" s="544" t="s">
        <v>346</v>
      </c>
      <c r="Q23" s="545">
        <v>97527416</v>
      </c>
      <c r="R23" s="545">
        <v>14144813</v>
      </c>
      <c r="S23" s="545">
        <v>14144813</v>
      </c>
      <c r="T23" s="545">
        <v>83382603</v>
      </c>
      <c r="U23" s="545">
        <f t="shared" si="7"/>
        <v>97527.415999999997</v>
      </c>
      <c r="V23" s="914">
        <f t="shared" si="8"/>
        <v>14144.813</v>
      </c>
      <c r="W23" s="914">
        <f t="shared" si="9"/>
        <v>14144.813</v>
      </c>
      <c r="X23" s="914">
        <f t="shared" si="10"/>
        <v>83382.603000000003</v>
      </c>
    </row>
    <row r="24" spans="1:24" ht="13.5" x14ac:dyDescent="0.25">
      <c r="A24" s="910" t="s">
        <v>532</v>
      </c>
      <c r="B24" s="910">
        <v>89789216</v>
      </c>
      <c r="C24" s="910">
        <v>6519711</v>
      </c>
      <c r="D24" s="910">
        <v>6519711</v>
      </c>
      <c r="E24" s="910">
        <v>83269505</v>
      </c>
      <c r="F24" s="910">
        <f t="shared" si="2"/>
        <v>89789.216</v>
      </c>
      <c r="G24" s="910">
        <f t="shared" si="3"/>
        <v>6519.7110000000002</v>
      </c>
      <c r="H24" s="910">
        <f t="shared" si="4"/>
        <v>6519.7110000000002</v>
      </c>
      <c r="I24" s="910">
        <f t="shared" si="5"/>
        <v>83269.505000000005</v>
      </c>
      <c r="L24" s="544" t="s">
        <v>353</v>
      </c>
      <c r="M24" s="545">
        <v>195129001</v>
      </c>
      <c r="N24" s="545">
        <f t="shared" si="6"/>
        <v>195129.00099999999</v>
      </c>
      <c r="P24" s="544" t="s">
        <v>532</v>
      </c>
      <c r="Q24" s="545">
        <v>89789216</v>
      </c>
      <c r="R24" s="545">
        <v>13039422</v>
      </c>
      <c r="S24" s="545">
        <v>13039422</v>
      </c>
      <c r="T24" s="545">
        <v>76749794</v>
      </c>
      <c r="U24" s="545">
        <f t="shared" si="7"/>
        <v>89789.216</v>
      </c>
      <c r="V24" s="914">
        <f t="shared" si="8"/>
        <v>13039.422</v>
      </c>
      <c r="W24" s="914">
        <f t="shared" si="9"/>
        <v>13039.422</v>
      </c>
      <c r="X24" s="914">
        <f t="shared" si="10"/>
        <v>76749.793999999994</v>
      </c>
    </row>
    <row r="25" spans="1:24" ht="13.5" x14ac:dyDescent="0.25">
      <c r="A25" s="910" t="s">
        <v>533</v>
      </c>
      <c r="B25" s="910">
        <v>138200</v>
      </c>
      <c r="C25" s="910">
        <v>48972</v>
      </c>
      <c r="D25" s="910">
        <v>48972</v>
      </c>
      <c r="E25" s="910">
        <v>89228</v>
      </c>
      <c r="F25" s="910">
        <f t="shared" si="2"/>
        <v>138.19999999999999</v>
      </c>
      <c r="G25" s="910">
        <f t="shared" si="3"/>
        <v>48.972000000000001</v>
      </c>
      <c r="H25" s="910">
        <f t="shared" si="4"/>
        <v>48.972000000000001</v>
      </c>
      <c r="I25" s="910">
        <f t="shared" si="5"/>
        <v>89.227999999999994</v>
      </c>
      <c r="L25" s="544" t="s">
        <v>354</v>
      </c>
      <c r="M25" s="545">
        <v>24582067</v>
      </c>
      <c r="N25" s="545">
        <f t="shared" si="6"/>
        <v>24582.066999999999</v>
      </c>
      <c r="P25" s="544" t="s">
        <v>533</v>
      </c>
      <c r="Q25" s="545">
        <v>138200</v>
      </c>
      <c r="R25" s="545">
        <v>48972</v>
      </c>
      <c r="S25" s="545">
        <v>48972</v>
      </c>
      <c r="T25" s="545">
        <v>89228</v>
      </c>
      <c r="U25" s="545">
        <f t="shared" si="7"/>
        <v>138.19999999999999</v>
      </c>
      <c r="V25" s="914">
        <f t="shared" si="8"/>
        <v>48.972000000000001</v>
      </c>
      <c r="W25" s="914">
        <f t="shared" si="9"/>
        <v>48.972000000000001</v>
      </c>
      <c r="X25" s="914">
        <f t="shared" si="10"/>
        <v>89.227999999999994</v>
      </c>
    </row>
    <row r="26" spans="1:24" ht="13.5" x14ac:dyDescent="0.25">
      <c r="A26" s="910" t="s">
        <v>584</v>
      </c>
      <c r="B26" s="910">
        <v>5600000</v>
      </c>
      <c r="C26" s="910">
        <v>523822</v>
      </c>
      <c r="D26" s="910">
        <v>523822</v>
      </c>
      <c r="E26" s="910">
        <v>5076178</v>
      </c>
      <c r="F26" s="910">
        <f t="shared" si="2"/>
        <v>5600</v>
      </c>
      <c r="G26" s="910">
        <f t="shared" si="3"/>
        <v>523.822</v>
      </c>
      <c r="H26" s="910">
        <f t="shared" si="4"/>
        <v>523.822</v>
      </c>
      <c r="I26" s="910">
        <f t="shared" si="5"/>
        <v>5076.1779999999999</v>
      </c>
      <c r="L26" s="544" t="s">
        <v>537</v>
      </c>
      <c r="M26" s="545">
        <v>9492859</v>
      </c>
      <c r="N26" s="545">
        <f t="shared" si="6"/>
        <v>9492.8590000000004</v>
      </c>
      <c r="P26" s="544" t="s">
        <v>584</v>
      </c>
      <c r="Q26" s="545">
        <v>5600000</v>
      </c>
      <c r="R26" s="545">
        <v>1056419</v>
      </c>
      <c r="S26" s="545">
        <v>1056419</v>
      </c>
      <c r="T26" s="545">
        <v>4543581</v>
      </c>
      <c r="U26" s="545">
        <f t="shared" si="7"/>
        <v>5600</v>
      </c>
      <c r="V26" s="914">
        <f t="shared" si="8"/>
        <v>1056.4190000000001</v>
      </c>
      <c r="W26" s="914">
        <f t="shared" si="9"/>
        <v>1056.4190000000001</v>
      </c>
      <c r="X26" s="914">
        <f t="shared" si="10"/>
        <v>4543.5810000000001</v>
      </c>
    </row>
    <row r="27" spans="1:24" ht="13.5" x14ac:dyDescent="0.25">
      <c r="A27" s="910" t="s">
        <v>534</v>
      </c>
      <c r="B27" s="910">
        <v>2000000</v>
      </c>
      <c r="C27" s="910">
        <v>0</v>
      </c>
      <c r="D27" s="910">
        <v>0</v>
      </c>
      <c r="E27" s="910">
        <v>2000000</v>
      </c>
      <c r="F27" s="910">
        <f t="shared" si="2"/>
        <v>2000</v>
      </c>
      <c r="G27" s="910">
        <f t="shared" si="3"/>
        <v>0</v>
      </c>
      <c r="H27" s="910">
        <f t="shared" si="4"/>
        <v>0</v>
      </c>
      <c r="I27" s="910">
        <f t="shared" si="5"/>
        <v>2000</v>
      </c>
      <c r="L27" s="544" t="s">
        <v>538</v>
      </c>
      <c r="M27" s="545">
        <v>186027320</v>
      </c>
      <c r="N27" s="545">
        <f t="shared" si="6"/>
        <v>186027.32</v>
      </c>
      <c r="P27" s="544" t="s">
        <v>534</v>
      </c>
      <c r="Q27" s="545">
        <v>2000000</v>
      </c>
      <c r="R27" s="545">
        <v>0</v>
      </c>
      <c r="S27" s="545">
        <v>0</v>
      </c>
      <c r="T27" s="545">
        <v>2000000</v>
      </c>
      <c r="U27" s="545">
        <f t="shared" si="7"/>
        <v>2000</v>
      </c>
      <c r="V27" s="914">
        <f t="shared" si="8"/>
        <v>0</v>
      </c>
      <c r="W27" s="914">
        <f t="shared" si="9"/>
        <v>0</v>
      </c>
      <c r="X27" s="914">
        <f t="shared" si="10"/>
        <v>2000</v>
      </c>
    </row>
    <row r="28" spans="1:24" ht="13.5" x14ac:dyDescent="0.25">
      <c r="A28" s="910" t="s">
        <v>347</v>
      </c>
      <c r="B28" s="910">
        <v>1210551</v>
      </c>
      <c r="C28" s="910">
        <v>218404</v>
      </c>
      <c r="D28" s="910">
        <v>218404</v>
      </c>
      <c r="E28" s="910">
        <v>992147</v>
      </c>
      <c r="F28" s="910">
        <f t="shared" si="2"/>
        <v>1210.5509999999999</v>
      </c>
      <c r="G28" s="910">
        <f t="shared" si="3"/>
        <v>218.404</v>
      </c>
      <c r="H28" s="910">
        <f t="shared" si="4"/>
        <v>218.404</v>
      </c>
      <c r="I28" s="910">
        <f t="shared" si="5"/>
        <v>992.14700000000005</v>
      </c>
      <c r="L28" s="544" t="s">
        <v>539</v>
      </c>
      <c r="M28" s="545">
        <v>443012881</v>
      </c>
      <c r="N28" s="545">
        <f t="shared" si="6"/>
        <v>443012.88099999999</v>
      </c>
      <c r="P28" s="544" t="s">
        <v>347</v>
      </c>
      <c r="Q28" s="545">
        <v>1210551</v>
      </c>
      <c r="R28" s="545">
        <v>218404</v>
      </c>
      <c r="S28" s="545">
        <v>218404</v>
      </c>
      <c r="T28" s="545">
        <v>992147</v>
      </c>
      <c r="U28" s="545">
        <f t="shared" si="7"/>
        <v>1210.5509999999999</v>
      </c>
      <c r="V28" s="914">
        <f t="shared" si="8"/>
        <v>218.404</v>
      </c>
      <c r="W28" s="914">
        <f t="shared" si="9"/>
        <v>218.404</v>
      </c>
      <c r="X28" s="914">
        <f t="shared" si="10"/>
        <v>992.14700000000005</v>
      </c>
    </row>
    <row r="29" spans="1:24" ht="13.5" x14ac:dyDescent="0.25">
      <c r="A29" s="910" t="s">
        <v>348</v>
      </c>
      <c r="B29" s="910">
        <v>344954</v>
      </c>
      <c r="C29" s="910">
        <v>0</v>
      </c>
      <c r="D29" s="910">
        <v>0</v>
      </c>
      <c r="E29" s="910">
        <v>344954</v>
      </c>
      <c r="F29" s="910">
        <f t="shared" si="2"/>
        <v>344.95400000000001</v>
      </c>
      <c r="G29" s="910">
        <f t="shared" si="3"/>
        <v>0</v>
      </c>
      <c r="H29" s="910">
        <f t="shared" si="4"/>
        <v>0</v>
      </c>
      <c r="I29" s="910">
        <f t="shared" si="5"/>
        <v>344.95400000000001</v>
      </c>
      <c r="L29" s="544" t="s">
        <v>542</v>
      </c>
      <c r="M29" s="545">
        <v>728828</v>
      </c>
      <c r="N29" s="545">
        <f t="shared" si="6"/>
        <v>728.82799999999997</v>
      </c>
      <c r="P29" s="544" t="s">
        <v>348</v>
      </c>
      <c r="Q29" s="545">
        <v>344954</v>
      </c>
      <c r="R29" s="545">
        <v>0</v>
      </c>
      <c r="S29" s="545">
        <v>0</v>
      </c>
      <c r="T29" s="545">
        <v>344954</v>
      </c>
      <c r="U29" s="545">
        <f t="shared" si="7"/>
        <v>344.95400000000001</v>
      </c>
      <c r="V29" s="914">
        <f t="shared" si="8"/>
        <v>0</v>
      </c>
      <c r="W29" s="914">
        <f t="shared" si="9"/>
        <v>0</v>
      </c>
      <c r="X29" s="914">
        <f t="shared" si="10"/>
        <v>344.95400000000001</v>
      </c>
    </row>
    <row r="30" spans="1:24" ht="13.5" x14ac:dyDescent="0.25">
      <c r="A30" s="910" t="s">
        <v>460</v>
      </c>
      <c r="B30" s="910">
        <v>326529</v>
      </c>
      <c r="C30" s="910">
        <v>0</v>
      </c>
      <c r="D30" s="910">
        <v>0</v>
      </c>
      <c r="E30" s="910">
        <v>326529</v>
      </c>
      <c r="F30" s="910">
        <f t="shared" si="2"/>
        <v>326.529</v>
      </c>
      <c r="G30" s="910">
        <f t="shared" si="3"/>
        <v>0</v>
      </c>
      <c r="H30" s="910">
        <f t="shared" si="4"/>
        <v>0</v>
      </c>
      <c r="I30" s="910">
        <f t="shared" si="5"/>
        <v>326.529</v>
      </c>
      <c r="L30" s="544" t="s">
        <v>355</v>
      </c>
      <c r="M30" s="545">
        <v>40988816</v>
      </c>
      <c r="N30" s="545">
        <f t="shared" si="6"/>
        <v>40988.815999999999</v>
      </c>
      <c r="P30" s="544" t="s">
        <v>460</v>
      </c>
      <c r="Q30" s="545">
        <v>326529</v>
      </c>
      <c r="R30" s="545">
        <v>0</v>
      </c>
      <c r="S30" s="545">
        <v>0</v>
      </c>
      <c r="T30" s="545">
        <v>326529</v>
      </c>
      <c r="U30" s="545">
        <f t="shared" si="7"/>
        <v>326.529</v>
      </c>
      <c r="V30" s="914">
        <f t="shared" si="8"/>
        <v>0</v>
      </c>
      <c r="W30" s="914">
        <f t="shared" si="9"/>
        <v>0</v>
      </c>
      <c r="X30" s="914">
        <f t="shared" si="10"/>
        <v>326.529</v>
      </c>
    </row>
    <row r="31" spans="1:24" ht="13.5" x14ac:dyDescent="0.25">
      <c r="A31" s="910" t="s">
        <v>349</v>
      </c>
      <c r="B31" s="910">
        <v>539068</v>
      </c>
      <c r="C31" s="910">
        <v>218404</v>
      </c>
      <c r="D31" s="910">
        <v>218404</v>
      </c>
      <c r="E31" s="910">
        <v>320664</v>
      </c>
      <c r="F31" s="910">
        <f t="shared" si="2"/>
        <v>539.06799999999998</v>
      </c>
      <c r="G31" s="910">
        <f t="shared" si="3"/>
        <v>218.404</v>
      </c>
      <c r="H31" s="910">
        <f t="shared" si="4"/>
        <v>218.404</v>
      </c>
      <c r="I31" s="910">
        <f t="shared" si="5"/>
        <v>320.66399999999999</v>
      </c>
      <c r="L31" s="544" t="s">
        <v>544</v>
      </c>
      <c r="M31" s="545">
        <v>40988816</v>
      </c>
      <c r="N31" s="545">
        <f t="shared" si="6"/>
        <v>40988.815999999999</v>
      </c>
      <c r="P31" s="544" t="s">
        <v>349</v>
      </c>
      <c r="Q31" s="545">
        <v>539068</v>
      </c>
      <c r="R31" s="545">
        <v>218404</v>
      </c>
      <c r="S31" s="545">
        <v>218404</v>
      </c>
      <c r="T31" s="545">
        <v>320664</v>
      </c>
      <c r="U31" s="545">
        <f t="shared" si="7"/>
        <v>539.06799999999998</v>
      </c>
      <c r="V31" s="914">
        <f t="shared" si="8"/>
        <v>218.404</v>
      </c>
      <c r="W31" s="914">
        <f t="shared" si="9"/>
        <v>218.404</v>
      </c>
      <c r="X31" s="914">
        <f t="shared" si="10"/>
        <v>320.66399999999999</v>
      </c>
    </row>
    <row r="32" spans="1:24" ht="13.5" x14ac:dyDescent="0.25">
      <c r="A32" s="910" t="s">
        <v>350</v>
      </c>
      <c r="B32" s="910">
        <v>17887240325</v>
      </c>
      <c r="C32" s="910">
        <v>1228669421</v>
      </c>
      <c r="D32" s="910">
        <v>1228669421</v>
      </c>
      <c r="E32" s="910">
        <v>16658570904</v>
      </c>
      <c r="F32" s="910">
        <f t="shared" si="2"/>
        <v>17887240.324999999</v>
      </c>
      <c r="G32" s="910">
        <f t="shared" si="3"/>
        <v>1228669.4210000001</v>
      </c>
      <c r="H32" s="910">
        <f t="shared" si="4"/>
        <v>1228669.4210000001</v>
      </c>
      <c r="I32" s="910">
        <f t="shared" si="5"/>
        <v>16658570.903999999</v>
      </c>
      <c r="L32" s="544" t="s">
        <v>357</v>
      </c>
      <c r="M32" s="545">
        <v>29558673</v>
      </c>
      <c r="N32" s="545">
        <f t="shared" si="6"/>
        <v>29558.672999999999</v>
      </c>
      <c r="P32" s="544" t="s">
        <v>350</v>
      </c>
      <c r="Q32" s="545">
        <v>17887240325</v>
      </c>
      <c r="R32" s="545">
        <v>2445376381</v>
      </c>
      <c r="S32" s="545">
        <v>2445376381</v>
      </c>
      <c r="T32" s="545">
        <v>15441863944</v>
      </c>
      <c r="U32" s="545">
        <f t="shared" si="7"/>
        <v>17887240.324999999</v>
      </c>
      <c r="V32" s="914">
        <f t="shared" si="8"/>
        <v>2445376.3810000001</v>
      </c>
      <c r="W32" s="914">
        <f t="shared" si="9"/>
        <v>2445376.3810000001</v>
      </c>
      <c r="X32" s="914">
        <f t="shared" si="10"/>
        <v>15441863.944</v>
      </c>
    </row>
    <row r="33" spans="1:24" ht="13.5" x14ac:dyDescent="0.25">
      <c r="A33" s="910" t="s">
        <v>351</v>
      </c>
      <c r="B33" s="910">
        <v>15141014982</v>
      </c>
      <c r="C33" s="910">
        <v>1126633495</v>
      </c>
      <c r="D33" s="910">
        <v>1126633495</v>
      </c>
      <c r="E33" s="910">
        <v>14014381487</v>
      </c>
      <c r="F33" s="910">
        <f t="shared" si="2"/>
        <v>15141014.982000001</v>
      </c>
      <c r="G33" s="910">
        <f t="shared" si="3"/>
        <v>1126633.4950000001</v>
      </c>
      <c r="H33" s="910">
        <f t="shared" si="4"/>
        <v>1126633.4950000001</v>
      </c>
      <c r="I33" s="910">
        <f t="shared" si="5"/>
        <v>14014381.487</v>
      </c>
      <c r="L33" s="544" t="s">
        <v>547</v>
      </c>
      <c r="M33" s="545">
        <v>18554160</v>
      </c>
      <c r="N33" s="545">
        <f t="shared" si="6"/>
        <v>18554.16</v>
      </c>
      <c r="P33" s="544" t="s">
        <v>351</v>
      </c>
      <c r="Q33" s="545">
        <v>15141014982</v>
      </c>
      <c r="R33" s="545">
        <v>2272792966</v>
      </c>
      <c r="S33" s="545">
        <v>2272792966</v>
      </c>
      <c r="T33" s="545">
        <v>12868222016</v>
      </c>
      <c r="U33" s="545">
        <f t="shared" si="7"/>
        <v>15141014.982000001</v>
      </c>
      <c r="V33" s="914">
        <f t="shared" si="8"/>
        <v>2272792.966</v>
      </c>
      <c r="W33" s="914">
        <f t="shared" si="9"/>
        <v>2272792.966</v>
      </c>
      <c r="X33" s="914">
        <f t="shared" si="10"/>
        <v>12868222.016000001</v>
      </c>
    </row>
    <row r="34" spans="1:24" ht="13.5" x14ac:dyDescent="0.25">
      <c r="A34" s="910" t="s">
        <v>352</v>
      </c>
      <c r="B34" s="910">
        <v>3247279827</v>
      </c>
      <c r="C34" s="910">
        <v>269720898</v>
      </c>
      <c r="D34" s="910">
        <v>269720898</v>
      </c>
      <c r="E34" s="910">
        <v>2977558929</v>
      </c>
      <c r="F34" s="910">
        <f t="shared" si="2"/>
        <v>3247279.827</v>
      </c>
      <c r="G34" s="910">
        <f t="shared" si="3"/>
        <v>269720.89799999999</v>
      </c>
      <c r="H34" s="910">
        <f t="shared" si="4"/>
        <v>269720.89799999999</v>
      </c>
      <c r="I34" s="910">
        <f t="shared" si="5"/>
        <v>2977558.929</v>
      </c>
      <c r="L34" s="544" t="s">
        <v>548</v>
      </c>
      <c r="M34" s="545">
        <v>3793795</v>
      </c>
      <c r="N34" s="545">
        <f t="shared" si="6"/>
        <v>3793.7950000000001</v>
      </c>
      <c r="P34" s="544" t="s">
        <v>352</v>
      </c>
      <c r="Q34" s="545">
        <v>3247279827</v>
      </c>
      <c r="R34" s="545">
        <v>544172821</v>
      </c>
      <c r="S34" s="545">
        <v>544172821</v>
      </c>
      <c r="T34" s="545">
        <v>2703107006</v>
      </c>
      <c r="U34" s="545">
        <f t="shared" si="7"/>
        <v>3247279.827</v>
      </c>
      <c r="V34" s="914">
        <f t="shared" si="8"/>
        <v>544172.821</v>
      </c>
      <c r="W34" s="914">
        <f t="shared" si="9"/>
        <v>544172.821</v>
      </c>
      <c r="X34" s="914">
        <f t="shared" si="10"/>
        <v>2703107.0060000001</v>
      </c>
    </row>
    <row r="35" spans="1:24" ht="13.5" x14ac:dyDescent="0.25">
      <c r="A35" s="910" t="s">
        <v>535</v>
      </c>
      <c r="B35" s="910">
        <v>144871696</v>
      </c>
      <c r="C35" s="910">
        <v>12715373</v>
      </c>
      <c r="D35" s="910">
        <v>12715373</v>
      </c>
      <c r="E35" s="910">
        <v>132156323</v>
      </c>
      <c r="F35" s="910">
        <f t="shared" si="2"/>
        <v>144871.696</v>
      </c>
      <c r="G35" s="910">
        <f t="shared" si="3"/>
        <v>12715.373</v>
      </c>
      <c r="H35" s="910">
        <f t="shared" si="4"/>
        <v>12715.373</v>
      </c>
      <c r="I35" s="910">
        <f t="shared" si="5"/>
        <v>132156.323</v>
      </c>
      <c r="L35" s="544" t="s">
        <v>585</v>
      </c>
      <c r="M35" s="545">
        <v>7210718</v>
      </c>
      <c r="N35" s="545">
        <f t="shared" si="6"/>
        <v>7210.7179999999998</v>
      </c>
      <c r="P35" s="544" t="s">
        <v>535</v>
      </c>
      <c r="Q35" s="545">
        <v>144871696</v>
      </c>
      <c r="R35" s="545">
        <v>25449965</v>
      </c>
      <c r="S35" s="545">
        <v>25449965</v>
      </c>
      <c r="T35" s="545">
        <v>119421731</v>
      </c>
      <c r="U35" s="545">
        <f t="shared" si="7"/>
        <v>144871.696</v>
      </c>
      <c r="V35" s="914">
        <f t="shared" si="8"/>
        <v>25449.965</v>
      </c>
      <c r="W35" s="914">
        <f t="shared" si="9"/>
        <v>25449.965</v>
      </c>
      <c r="X35" s="914">
        <f t="shared" si="10"/>
        <v>119421.731</v>
      </c>
    </row>
    <row r="36" spans="1:24" ht="13.5" x14ac:dyDescent="0.25">
      <c r="A36" s="910" t="s">
        <v>353</v>
      </c>
      <c r="B36" s="910">
        <v>2214042253</v>
      </c>
      <c r="C36" s="910">
        <v>191403061</v>
      </c>
      <c r="D36" s="910">
        <v>191403061</v>
      </c>
      <c r="E36" s="910">
        <v>2022639192</v>
      </c>
      <c r="F36" s="910">
        <f t="shared" si="2"/>
        <v>2214042.253</v>
      </c>
      <c r="G36" s="910">
        <f t="shared" si="3"/>
        <v>191403.06099999999</v>
      </c>
      <c r="H36" s="910">
        <f t="shared" si="4"/>
        <v>191403.06099999999</v>
      </c>
      <c r="I36" s="910">
        <f t="shared" si="5"/>
        <v>2022639.192</v>
      </c>
      <c r="L36" s="544" t="s">
        <v>361</v>
      </c>
      <c r="M36" s="545">
        <v>77517740</v>
      </c>
      <c r="N36" s="545">
        <f t="shared" si="6"/>
        <v>77517.740000000005</v>
      </c>
      <c r="P36" s="544" t="s">
        <v>353</v>
      </c>
      <c r="Q36" s="545">
        <v>2214042253</v>
      </c>
      <c r="R36" s="545">
        <v>386532062</v>
      </c>
      <c r="S36" s="545">
        <v>386532062</v>
      </c>
      <c r="T36" s="545">
        <v>1827510191</v>
      </c>
      <c r="U36" s="545">
        <f t="shared" si="7"/>
        <v>2214042.253</v>
      </c>
      <c r="V36" s="914">
        <f t="shared" si="8"/>
        <v>386532.06199999998</v>
      </c>
      <c r="W36" s="914">
        <f t="shared" si="9"/>
        <v>386532.06199999998</v>
      </c>
      <c r="X36" s="914">
        <f t="shared" si="10"/>
        <v>1827510.1910000001</v>
      </c>
    </row>
    <row r="37" spans="1:24" ht="13.5" x14ac:dyDescent="0.25">
      <c r="A37" s="910" t="s">
        <v>354</v>
      </c>
      <c r="B37" s="910">
        <v>289402638</v>
      </c>
      <c r="C37" s="910">
        <v>25083486</v>
      </c>
      <c r="D37" s="910">
        <v>25083486</v>
      </c>
      <c r="E37" s="910">
        <v>264319152</v>
      </c>
      <c r="F37" s="910">
        <f t="shared" si="2"/>
        <v>289402.63799999998</v>
      </c>
      <c r="G37" s="910">
        <f t="shared" si="3"/>
        <v>25083.486000000001</v>
      </c>
      <c r="H37" s="910">
        <f t="shared" si="4"/>
        <v>25083.486000000001</v>
      </c>
      <c r="I37" s="910">
        <f t="shared" si="5"/>
        <v>264319.152</v>
      </c>
      <c r="L37" s="544" t="s">
        <v>549</v>
      </c>
      <c r="M37" s="545">
        <v>75192382</v>
      </c>
      <c r="N37" s="545">
        <f t="shared" si="6"/>
        <v>75192.381999999998</v>
      </c>
      <c r="P37" s="544" t="s">
        <v>354</v>
      </c>
      <c r="Q37" s="545">
        <v>289402638</v>
      </c>
      <c r="R37" s="545">
        <v>49665553</v>
      </c>
      <c r="S37" s="545">
        <v>49665553</v>
      </c>
      <c r="T37" s="545">
        <v>239737085</v>
      </c>
      <c r="U37" s="545">
        <f t="shared" si="7"/>
        <v>289402.63799999998</v>
      </c>
      <c r="V37" s="914">
        <f t="shared" si="8"/>
        <v>49665.553</v>
      </c>
      <c r="W37" s="914">
        <f t="shared" si="9"/>
        <v>49665.553</v>
      </c>
      <c r="X37" s="914">
        <f t="shared" si="10"/>
        <v>239737.08499999999</v>
      </c>
    </row>
    <row r="38" spans="1:24" ht="13.5" x14ac:dyDescent="0.25">
      <c r="A38" s="910" t="s">
        <v>537</v>
      </c>
      <c r="B38" s="910">
        <v>149822501</v>
      </c>
      <c r="C38" s="910">
        <v>9492859</v>
      </c>
      <c r="D38" s="910">
        <v>9492859</v>
      </c>
      <c r="E38" s="910">
        <v>140329642</v>
      </c>
      <c r="F38" s="910">
        <f t="shared" si="2"/>
        <v>149822.50099999999</v>
      </c>
      <c r="G38" s="910">
        <f t="shared" si="3"/>
        <v>9492.8590000000004</v>
      </c>
      <c r="H38" s="910">
        <f t="shared" si="4"/>
        <v>9492.8590000000004</v>
      </c>
      <c r="I38" s="910">
        <f t="shared" si="5"/>
        <v>140329.64199999999</v>
      </c>
      <c r="L38" s="544" t="s">
        <v>550</v>
      </c>
      <c r="M38" s="545">
        <v>74379514</v>
      </c>
      <c r="N38" s="545">
        <f t="shared" si="6"/>
        <v>74379.513999999996</v>
      </c>
      <c r="P38" s="544" t="s">
        <v>537</v>
      </c>
      <c r="Q38" s="545">
        <v>149822501</v>
      </c>
      <c r="R38" s="545">
        <v>18985718</v>
      </c>
      <c r="S38" s="545">
        <v>18985718</v>
      </c>
      <c r="T38" s="545">
        <v>130836783</v>
      </c>
      <c r="U38" s="545">
        <f t="shared" si="7"/>
        <v>149822.50099999999</v>
      </c>
      <c r="V38" s="914">
        <f t="shared" si="8"/>
        <v>18985.718000000001</v>
      </c>
      <c r="W38" s="914">
        <f t="shared" si="9"/>
        <v>18985.718000000001</v>
      </c>
      <c r="X38" s="914">
        <f t="shared" si="10"/>
        <v>130836.783</v>
      </c>
    </row>
    <row r="39" spans="1:24" ht="13.5" x14ac:dyDescent="0.25">
      <c r="A39" s="910" t="s">
        <v>538</v>
      </c>
      <c r="B39" s="910">
        <v>2483515675</v>
      </c>
      <c r="C39" s="910">
        <v>182584842</v>
      </c>
      <c r="D39" s="910">
        <v>182584842</v>
      </c>
      <c r="E39" s="910">
        <v>2300930833</v>
      </c>
      <c r="F39" s="910">
        <f t="shared" si="2"/>
        <v>2483515.6749999998</v>
      </c>
      <c r="G39" s="910">
        <f t="shared" si="3"/>
        <v>182584.842</v>
      </c>
      <c r="H39" s="910">
        <f t="shared" si="4"/>
        <v>182584.842</v>
      </c>
      <c r="I39" s="910">
        <f t="shared" si="5"/>
        <v>2300930.8330000001</v>
      </c>
      <c r="L39" s="544" t="s">
        <v>551</v>
      </c>
      <c r="M39" s="545">
        <v>812868</v>
      </c>
      <c r="N39" s="545">
        <f t="shared" si="6"/>
        <v>812.86800000000005</v>
      </c>
      <c r="P39" s="544" t="s">
        <v>538</v>
      </c>
      <c r="Q39" s="545">
        <v>2483515675</v>
      </c>
      <c r="R39" s="545">
        <v>368612162</v>
      </c>
      <c r="S39" s="545">
        <v>368612162</v>
      </c>
      <c r="T39" s="545">
        <v>2114903513</v>
      </c>
      <c r="U39" s="545">
        <f t="shared" si="7"/>
        <v>2483515.6749999998</v>
      </c>
      <c r="V39" s="914">
        <f t="shared" si="8"/>
        <v>368612.16200000001</v>
      </c>
      <c r="W39" s="914">
        <f t="shared" si="9"/>
        <v>368612.16200000001</v>
      </c>
      <c r="X39" s="914">
        <f t="shared" si="10"/>
        <v>2114903.5129999998</v>
      </c>
    </row>
    <row r="40" spans="1:24" ht="13.5" x14ac:dyDescent="0.25">
      <c r="A40" s="910" t="s">
        <v>539</v>
      </c>
      <c r="B40" s="910">
        <v>4986131413</v>
      </c>
      <c r="C40" s="910">
        <v>434904148</v>
      </c>
      <c r="D40" s="910">
        <v>434904148</v>
      </c>
      <c r="E40" s="910">
        <v>4551227265</v>
      </c>
      <c r="F40" s="910">
        <f t="shared" si="2"/>
        <v>4986131.4129999997</v>
      </c>
      <c r="G40" s="910">
        <f t="shared" si="3"/>
        <v>434904.14799999999</v>
      </c>
      <c r="H40" s="910">
        <f t="shared" si="4"/>
        <v>434904.14799999999</v>
      </c>
      <c r="I40" s="910">
        <f t="shared" si="5"/>
        <v>4551227.2649999997</v>
      </c>
      <c r="L40" s="544" t="s">
        <v>362</v>
      </c>
      <c r="M40" s="545">
        <v>2325358</v>
      </c>
      <c r="N40" s="545">
        <f t="shared" si="6"/>
        <v>2325.3580000000002</v>
      </c>
      <c r="P40" s="544" t="s">
        <v>539</v>
      </c>
      <c r="Q40" s="545">
        <v>4986131413</v>
      </c>
      <c r="R40" s="545">
        <v>877917029</v>
      </c>
      <c r="S40" s="545">
        <v>877917029</v>
      </c>
      <c r="T40" s="545">
        <v>4108214384</v>
      </c>
      <c r="U40" s="545">
        <f t="shared" si="7"/>
        <v>4986131.4129999997</v>
      </c>
      <c r="V40" s="914">
        <f t="shared" si="8"/>
        <v>877917.02899999998</v>
      </c>
      <c r="W40" s="914">
        <f t="shared" si="9"/>
        <v>877917.02899999998</v>
      </c>
      <c r="X40" s="914">
        <f t="shared" si="10"/>
        <v>4108214.3840000001</v>
      </c>
    </row>
    <row r="41" spans="1:24" ht="13.5" x14ac:dyDescent="0.25">
      <c r="A41" s="910" t="s">
        <v>540</v>
      </c>
      <c r="B41" s="910">
        <v>1569726924</v>
      </c>
      <c r="C41" s="910">
        <v>0</v>
      </c>
      <c r="D41" s="910">
        <v>0</v>
      </c>
      <c r="E41" s="910">
        <v>1569726924</v>
      </c>
      <c r="F41" s="910">
        <f t="shared" si="2"/>
        <v>1569726.9240000001</v>
      </c>
      <c r="G41" s="910">
        <f t="shared" si="3"/>
        <v>0</v>
      </c>
      <c r="H41" s="910">
        <f t="shared" si="4"/>
        <v>0</v>
      </c>
      <c r="I41" s="910">
        <f t="shared" si="5"/>
        <v>1569726.9240000001</v>
      </c>
      <c r="L41" s="544" t="s">
        <v>364</v>
      </c>
      <c r="M41" s="545">
        <v>145305926</v>
      </c>
      <c r="N41" s="545">
        <f t="shared" si="6"/>
        <v>145305.92600000001</v>
      </c>
      <c r="P41" s="544" t="s">
        <v>540</v>
      </c>
      <c r="Q41" s="545">
        <v>1569726924</v>
      </c>
      <c r="R41" s="545">
        <v>0</v>
      </c>
      <c r="S41" s="545">
        <v>0</v>
      </c>
      <c r="T41" s="545">
        <v>1569726924</v>
      </c>
      <c r="U41" s="545">
        <f t="shared" si="7"/>
        <v>1569726.9240000001</v>
      </c>
      <c r="V41" s="914">
        <f t="shared" si="8"/>
        <v>0</v>
      </c>
      <c r="W41" s="914">
        <f t="shared" si="9"/>
        <v>0</v>
      </c>
      <c r="X41" s="914">
        <f t="shared" si="10"/>
        <v>1569726.9240000001</v>
      </c>
    </row>
    <row r="42" spans="1:24" ht="13.5" x14ac:dyDescent="0.25">
      <c r="A42" s="910" t="s">
        <v>541</v>
      </c>
      <c r="B42" s="910">
        <v>52034045</v>
      </c>
      <c r="C42" s="910">
        <v>0</v>
      </c>
      <c r="D42" s="910">
        <v>0</v>
      </c>
      <c r="E42" s="910">
        <v>52034045</v>
      </c>
      <c r="F42" s="910">
        <f t="shared" si="2"/>
        <v>52034.044999999998</v>
      </c>
      <c r="G42" s="910">
        <f t="shared" si="3"/>
        <v>0</v>
      </c>
      <c r="H42" s="910">
        <f t="shared" si="4"/>
        <v>0</v>
      </c>
      <c r="I42" s="910">
        <f t="shared" si="5"/>
        <v>52034.044999999998</v>
      </c>
      <c r="L42" s="544" t="s">
        <v>365</v>
      </c>
      <c r="M42" s="545">
        <v>7179392</v>
      </c>
      <c r="N42" s="545">
        <f t="shared" si="6"/>
        <v>7179.3919999999998</v>
      </c>
      <c r="P42" s="544" t="s">
        <v>541</v>
      </c>
      <c r="Q42" s="545">
        <v>52034045</v>
      </c>
      <c r="R42" s="545">
        <v>0</v>
      </c>
      <c r="S42" s="545">
        <v>0</v>
      </c>
      <c r="T42" s="545">
        <v>52034045</v>
      </c>
      <c r="U42" s="545">
        <f t="shared" si="7"/>
        <v>52034.044999999998</v>
      </c>
      <c r="V42" s="914">
        <f t="shared" si="8"/>
        <v>0</v>
      </c>
      <c r="W42" s="914">
        <f t="shared" si="9"/>
        <v>0</v>
      </c>
      <c r="X42" s="914">
        <f t="shared" si="10"/>
        <v>52034.044999999998</v>
      </c>
    </row>
    <row r="43" spans="1:24" ht="13.5" x14ac:dyDescent="0.25">
      <c r="A43" s="910" t="s">
        <v>542</v>
      </c>
      <c r="B43" s="910">
        <v>4188010</v>
      </c>
      <c r="C43" s="910">
        <v>728828</v>
      </c>
      <c r="D43" s="910">
        <v>728828</v>
      </c>
      <c r="E43" s="910">
        <v>3459182</v>
      </c>
      <c r="F43" s="910">
        <f t="shared" si="2"/>
        <v>4188.01</v>
      </c>
      <c r="G43" s="910">
        <f t="shared" si="3"/>
        <v>728.82799999999997</v>
      </c>
      <c r="H43" s="910">
        <f t="shared" si="4"/>
        <v>728.82799999999997</v>
      </c>
      <c r="I43" s="910">
        <f t="shared" si="5"/>
        <v>3459.1819999999998</v>
      </c>
      <c r="L43" s="544" t="s">
        <v>552</v>
      </c>
      <c r="M43" s="545">
        <v>5947568</v>
      </c>
      <c r="N43" s="545">
        <f t="shared" si="6"/>
        <v>5947.5680000000002</v>
      </c>
      <c r="P43" s="544" t="s">
        <v>542</v>
      </c>
      <c r="Q43" s="545">
        <v>4188010</v>
      </c>
      <c r="R43" s="545">
        <v>1457656</v>
      </c>
      <c r="S43" s="545">
        <v>1457656</v>
      </c>
      <c r="T43" s="545">
        <v>2730354</v>
      </c>
      <c r="U43" s="545">
        <f t="shared" si="7"/>
        <v>4188.01</v>
      </c>
      <c r="V43" s="914">
        <f t="shared" si="8"/>
        <v>1457.6559999999999</v>
      </c>
      <c r="W43" s="914">
        <f t="shared" si="9"/>
        <v>1457.6559999999999</v>
      </c>
      <c r="X43" s="914">
        <f t="shared" si="10"/>
        <v>2730.3539999999998</v>
      </c>
    </row>
    <row r="44" spans="1:24" ht="13.5" x14ac:dyDescent="0.25">
      <c r="A44" s="910" t="s">
        <v>355</v>
      </c>
      <c r="B44" s="910">
        <v>611349110</v>
      </c>
      <c r="C44" s="910">
        <v>44439514</v>
      </c>
      <c r="D44" s="910">
        <v>44439514</v>
      </c>
      <c r="E44" s="910">
        <v>566909596</v>
      </c>
      <c r="F44" s="910">
        <f t="shared" si="2"/>
        <v>611349.11</v>
      </c>
      <c r="G44" s="910">
        <f t="shared" si="3"/>
        <v>44439.514000000003</v>
      </c>
      <c r="H44" s="910">
        <f t="shared" si="4"/>
        <v>44439.514000000003</v>
      </c>
      <c r="I44" s="910">
        <f t="shared" si="5"/>
        <v>566909.59600000002</v>
      </c>
      <c r="L44" s="544" t="s">
        <v>366</v>
      </c>
      <c r="M44" s="545">
        <v>1231824</v>
      </c>
      <c r="N44" s="545">
        <f t="shared" si="6"/>
        <v>1231.8240000000001</v>
      </c>
      <c r="P44" s="544" t="s">
        <v>355</v>
      </c>
      <c r="Q44" s="545">
        <v>611349110</v>
      </c>
      <c r="R44" s="545">
        <v>85428330</v>
      </c>
      <c r="S44" s="545">
        <v>85428330</v>
      </c>
      <c r="T44" s="545">
        <v>525920780</v>
      </c>
      <c r="U44" s="545">
        <f t="shared" si="7"/>
        <v>611349.11</v>
      </c>
      <c r="V44" s="914">
        <f t="shared" si="8"/>
        <v>85428.33</v>
      </c>
      <c r="W44" s="914">
        <f t="shared" si="9"/>
        <v>85428.33</v>
      </c>
      <c r="X44" s="914">
        <f t="shared" si="10"/>
        <v>525920.78</v>
      </c>
    </row>
    <row r="45" spans="1:24" ht="13.5" x14ac:dyDescent="0.25">
      <c r="A45" s="910" t="s">
        <v>543</v>
      </c>
      <c r="B45" s="910">
        <v>45228619</v>
      </c>
      <c r="C45" s="910">
        <v>4263294</v>
      </c>
      <c r="D45" s="910">
        <v>4263294</v>
      </c>
      <c r="E45" s="910">
        <v>40965325</v>
      </c>
      <c r="F45" s="910">
        <f t="shared" si="2"/>
        <v>45228.618999999999</v>
      </c>
      <c r="G45" s="910">
        <f t="shared" si="3"/>
        <v>4263.2939999999999</v>
      </c>
      <c r="H45" s="910">
        <f t="shared" si="4"/>
        <v>4263.2939999999999</v>
      </c>
      <c r="I45" s="910">
        <f t="shared" si="5"/>
        <v>40965.324999999997</v>
      </c>
      <c r="L45" s="544" t="s">
        <v>367</v>
      </c>
      <c r="M45" s="545">
        <v>10958432</v>
      </c>
      <c r="N45" s="545">
        <f t="shared" si="6"/>
        <v>10958.432000000001</v>
      </c>
      <c r="P45" s="544" t="s">
        <v>543</v>
      </c>
      <c r="Q45" s="545">
        <v>45228619</v>
      </c>
      <c r="R45" s="545">
        <v>4263294</v>
      </c>
      <c r="S45" s="545">
        <v>4263294</v>
      </c>
      <c r="T45" s="545">
        <v>40965325</v>
      </c>
      <c r="U45" s="545">
        <f t="shared" si="7"/>
        <v>45228.618999999999</v>
      </c>
      <c r="V45" s="914">
        <f t="shared" si="8"/>
        <v>4263.2939999999999</v>
      </c>
      <c r="W45" s="914">
        <f t="shared" si="9"/>
        <v>4263.2939999999999</v>
      </c>
      <c r="X45" s="914">
        <f t="shared" si="10"/>
        <v>40965.324999999997</v>
      </c>
    </row>
    <row r="46" spans="1:24" ht="13.5" x14ac:dyDescent="0.25">
      <c r="A46" s="910" t="s">
        <v>544</v>
      </c>
      <c r="B46" s="910">
        <v>566120491</v>
      </c>
      <c r="C46" s="910">
        <v>40176220</v>
      </c>
      <c r="D46" s="910">
        <v>40176220</v>
      </c>
      <c r="E46" s="910">
        <v>525944271</v>
      </c>
      <c r="F46" s="910">
        <f t="shared" si="2"/>
        <v>566120.49100000004</v>
      </c>
      <c r="G46" s="910">
        <f t="shared" si="3"/>
        <v>40176.22</v>
      </c>
      <c r="H46" s="910">
        <f t="shared" si="4"/>
        <v>40176.22</v>
      </c>
      <c r="I46" s="910">
        <f t="shared" si="5"/>
        <v>525944.27099999995</v>
      </c>
      <c r="L46" s="544" t="s">
        <v>368</v>
      </c>
      <c r="M46" s="545">
        <v>3272477</v>
      </c>
      <c r="N46" s="545">
        <f t="shared" si="6"/>
        <v>3272.4769999999999</v>
      </c>
      <c r="P46" s="544" t="s">
        <v>544</v>
      </c>
      <c r="Q46" s="545">
        <v>566120491</v>
      </c>
      <c r="R46" s="545">
        <v>81165036</v>
      </c>
      <c r="S46" s="545">
        <v>81165036</v>
      </c>
      <c r="T46" s="545">
        <v>484955455</v>
      </c>
      <c r="U46" s="545">
        <f t="shared" si="7"/>
        <v>566120.49100000004</v>
      </c>
      <c r="V46" s="914">
        <f t="shared" si="8"/>
        <v>81165.035999999993</v>
      </c>
      <c r="W46" s="914">
        <f t="shared" si="9"/>
        <v>81165.035999999993</v>
      </c>
      <c r="X46" s="914">
        <f t="shared" si="10"/>
        <v>484955.45500000002</v>
      </c>
    </row>
    <row r="47" spans="1:24" ht="13.5" x14ac:dyDescent="0.25">
      <c r="A47" s="910" t="s">
        <v>545</v>
      </c>
      <c r="B47" s="910">
        <v>1544483258</v>
      </c>
      <c r="C47" s="910">
        <v>0</v>
      </c>
      <c r="D47" s="910">
        <v>0</v>
      </c>
      <c r="E47" s="910">
        <v>1544483258</v>
      </c>
      <c r="F47" s="910">
        <f t="shared" si="2"/>
        <v>1544483.2579999999</v>
      </c>
      <c r="G47" s="910">
        <f t="shared" si="3"/>
        <v>0</v>
      </c>
      <c r="H47" s="910">
        <f t="shared" si="4"/>
        <v>0</v>
      </c>
      <c r="I47" s="910">
        <f t="shared" si="5"/>
        <v>1544483.2579999999</v>
      </c>
      <c r="L47" s="544" t="s">
        <v>555</v>
      </c>
      <c r="M47" s="545">
        <v>5331200</v>
      </c>
      <c r="N47" s="545">
        <f t="shared" si="6"/>
        <v>5331.2</v>
      </c>
      <c r="P47" s="544" t="s">
        <v>545</v>
      </c>
      <c r="Q47" s="545">
        <v>1544483258</v>
      </c>
      <c r="R47" s="545">
        <v>0</v>
      </c>
      <c r="S47" s="545">
        <v>0</v>
      </c>
      <c r="T47" s="545">
        <v>1544483258</v>
      </c>
      <c r="U47" s="545">
        <f t="shared" si="7"/>
        <v>1544483.2579999999</v>
      </c>
      <c r="V47" s="914">
        <f t="shared" si="8"/>
        <v>0</v>
      </c>
      <c r="W47" s="914">
        <f t="shared" si="9"/>
        <v>0</v>
      </c>
      <c r="X47" s="914">
        <f t="shared" si="10"/>
        <v>1544483.2579999999</v>
      </c>
    </row>
    <row r="48" spans="1:24" ht="13.5" x14ac:dyDescent="0.25">
      <c r="A48" s="910" t="s">
        <v>546</v>
      </c>
      <c r="B48" s="910">
        <v>795328066</v>
      </c>
      <c r="C48" s="910">
        <v>0</v>
      </c>
      <c r="D48" s="910">
        <v>0</v>
      </c>
      <c r="E48" s="910">
        <v>795328066</v>
      </c>
      <c r="F48" s="910">
        <f t="shared" si="2"/>
        <v>795328.06599999999</v>
      </c>
      <c r="G48" s="910">
        <f t="shared" si="3"/>
        <v>0</v>
      </c>
      <c r="H48" s="910">
        <f t="shared" si="4"/>
        <v>0</v>
      </c>
      <c r="I48" s="910">
        <f t="shared" si="5"/>
        <v>795328.06599999999</v>
      </c>
      <c r="L48" s="544" t="s">
        <v>556</v>
      </c>
      <c r="M48" s="545">
        <v>1386933</v>
      </c>
      <c r="N48" s="545">
        <f t="shared" si="6"/>
        <v>1386.933</v>
      </c>
      <c r="P48" s="544" t="s">
        <v>546</v>
      </c>
      <c r="Q48" s="545">
        <v>795328066</v>
      </c>
      <c r="R48" s="545">
        <v>0</v>
      </c>
      <c r="S48" s="545">
        <v>0</v>
      </c>
      <c r="T48" s="545">
        <v>795328066</v>
      </c>
      <c r="U48" s="545">
        <f t="shared" si="7"/>
        <v>795328.06599999999</v>
      </c>
      <c r="V48" s="914">
        <f t="shared" si="8"/>
        <v>0</v>
      </c>
      <c r="W48" s="914">
        <f t="shared" si="9"/>
        <v>0</v>
      </c>
      <c r="X48" s="914">
        <f t="shared" si="10"/>
        <v>795328.06599999999</v>
      </c>
    </row>
    <row r="49" spans="1:24" ht="13.5" x14ac:dyDescent="0.25">
      <c r="A49" s="910" t="s">
        <v>356</v>
      </c>
      <c r="B49" s="910">
        <v>749155192</v>
      </c>
      <c r="C49" s="910">
        <v>0</v>
      </c>
      <c r="D49" s="910">
        <v>0</v>
      </c>
      <c r="E49" s="910">
        <v>749155192</v>
      </c>
      <c r="F49" s="910">
        <f t="shared" si="2"/>
        <v>749155.19200000004</v>
      </c>
      <c r="G49" s="910">
        <f t="shared" si="3"/>
        <v>0</v>
      </c>
      <c r="H49" s="910">
        <f t="shared" si="4"/>
        <v>0</v>
      </c>
      <c r="I49" s="910">
        <f t="shared" si="5"/>
        <v>749155.19200000004</v>
      </c>
      <c r="L49" s="544" t="s">
        <v>557</v>
      </c>
      <c r="M49" s="545">
        <v>750750</v>
      </c>
      <c r="N49" s="545">
        <f t="shared" si="6"/>
        <v>750.75</v>
      </c>
      <c r="P49" s="544" t="s">
        <v>356</v>
      </c>
      <c r="Q49" s="545">
        <v>749155192</v>
      </c>
      <c r="R49" s="545">
        <v>0</v>
      </c>
      <c r="S49" s="545">
        <v>0</v>
      </c>
      <c r="T49" s="545">
        <v>749155192</v>
      </c>
      <c r="U49" s="545">
        <f t="shared" si="7"/>
        <v>749155.19200000004</v>
      </c>
      <c r="V49" s="914">
        <f t="shared" si="8"/>
        <v>0</v>
      </c>
      <c r="W49" s="914">
        <f t="shared" si="9"/>
        <v>0</v>
      </c>
      <c r="X49" s="914">
        <f t="shared" si="10"/>
        <v>749155.19200000004</v>
      </c>
    </row>
    <row r="50" spans="1:24" ht="13.5" x14ac:dyDescent="0.25">
      <c r="A50" s="910" t="s">
        <v>357</v>
      </c>
      <c r="B50" s="910">
        <v>471035584</v>
      </c>
      <c r="C50" s="910">
        <v>33517371</v>
      </c>
      <c r="D50" s="910">
        <v>33517371</v>
      </c>
      <c r="E50" s="910">
        <v>437518213</v>
      </c>
      <c r="F50" s="910">
        <f t="shared" si="2"/>
        <v>471035.58399999997</v>
      </c>
      <c r="G50" s="910">
        <f t="shared" si="3"/>
        <v>33517.370999999999</v>
      </c>
      <c r="H50" s="910">
        <f t="shared" si="4"/>
        <v>33517.370999999999</v>
      </c>
      <c r="I50" s="910">
        <f t="shared" si="5"/>
        <v>437518.21299999999</v>
      </c>
      <c r="L50" s="544" t="s">
        <v>371</v>
      </c>
      <c r="M50" s="545">
        <v>151622</v>
      </c>
      <c r="N50" s="545">
        <f t="shared" si="6"/>
        <v>151.62200000000001</v>
      </c>
      <c r="P50" s="544" t="s">
        <v>357</v>
      </c>
      <c r="Q50" s="545">
        <v>471035584</v>
      </c>
      <c r="R50" s="545">
        <v>63076044</v>
      </c>
      <c r="S50" s="545">
        <v>63076044</v>
      </c>
      <c r="T50" s="545">
        <v>407959540</v>
      </c>
      <c r="U50" s="545">
        <f t="shared" si="7"/>
        <v>471035.58399999997</v>
      </c>
      <c r="V50" s="914">
        <f t="shared" si="8"/>
        <v>63076.044000000002</v>
      </c>
      <c r="W50" s="914">
        <f t="shared" si="9"/>
        <v>63076.044000000002</v>
      </c>
      <c r="X50" s="914">
        <f t="shared" si="10"/>
        <v>407959.54</v>
      </c>
    </row>
    <row r="51" spans="1:24" ht="13.5" x14ac:dyDescent="0.25">
      <c r="A51" s="910" t="s">
        <v>547</v>
      </c>
      <c r="B51" s="910">
        <v>338878784</v>
      </c>
      <c r="C51" s="910">
        <v>18724327</v>
      </c>
      <c r="D51" s="910">
        <v>18724327</v>
      </c>
      <c r="E51" s="910">
        <v>320154457</v>
      </c>
      <c r="F51" s="910">
        <f t="shared" si="2"/>
        <v>338878.78399999999</v>
      </c>
      <c r="G51" s="910">
        <f t="shared" si="3"/>
        <v>18724.327000000001</v>
      </c>
      <c r="H51" s="910">
        <f t="shared" si="4"/>
        <v>18724.327000000001</v>
      </c>
      <c r="I51" s="910">
        <f t="shared" si="5"/>
        <v>320154.45699999999</v>
      </c>
      <c r="L51" s="544" t="s">
        <v>372</v>
      </c>
      <c r="M51" s="545">
        <v>65450</v>
      </c>
      <c r="N51" s="545">
        <f t="shared" si="6"/>
        <v>65.45</v>
      </c>
      <c r="P51" s="544" t="s">
        <v>547</v>
      </c>
      <c r="Q51" s="545">
        <v>338878784</v>
      </c>
      <c r="R51" s="545">
        <v>37278487</v>
      </c>
      <c r="S51" s="545">
        <v>37278487</v>
      </c>
      <c r="T51" s="545">
        <v>301600297</v>
      </c>
      <c r="U51" s="545">
        <f t="shared" si="7"/>
        <v>338878.78399999999</v>
      </c>
      <c r="V51" s="914">
        <f t="shared" si="8"/>
        <v>37278.487000000001</v>
      </c>
      <c r="W51" s="914">
        <f t="shared" si="9"/>
        <v>37278.487000000001</v>
      </c>
      <c r="X51" s="914">
        <f t="shared" si="10"/>
        <v>301600.29700000002</v>
      </c>
    </row>
    <row r="52" spans="1:24" ht="13.5" x14ac:dyDescent="0.25">
      <c r="A52" s="910" t="s">
        <v>548</v>
      </c>
      <c r="B52" s="910">
        <v>56627800</v>
      </c>
      <c r="C52" s="910">
        <v>5115138</v>
      </c>
      <c r="D52" s="910">
        <v>5115138</v>
      </c>
      <c r="E52" s="910">
        <v>51512662</v>
      </c>
      <c r="F52" s="910">
        <f t="shared" si="2"/>
        <v>56627.8</v>
      </c>
      <c r="G52" s="910">
        <f t="shared" si="3"/>
        <v>5115.1379999999999</v>
      </c>
      <c r="H52" s="910">
        <f t="shared" si="4"/>
        <v>5115.1379999999999</v>
      </c>
      <c r="I52" s="910">
        <f t="shared" si="5"/>
        <v>51512.661999999997</v>
      </c>
      <c r="L52" s="544" t="s">
        <v>373</v>
      </c>
      <c r="M52" s="545">
        <v>34449579</v>
      </c>
      <c r="N52" s="545">
        <f t="shared" si="6"/>
        <v>34449.578999999998</v>
      </c>
      <c r="P52" s="544" t="s">
        <v>548</v>
      </c>
      <c r="Q52" s="545">
        <v>56627800</v>
      </c>
      <c r="R52" s="545">
        <v>8908933</v>
      </c>
      <c r="S52" s="545">
        <v>8908933</v>
      </c>
      <c r="T52" s="545">
        <v>47718867</v>
      </c>
      <c r="U52" s="545">
        <f t="shared" si="7"/>
        <v>56627.8</v>
      </c>
      <c r="V52" s="914">
        <f t="shared" si="8"/>
        <v>8908.9330000000009</v>
      </c>
      <c r="W52" s="914">
        <f t="shared" si="9"/>
        <v>8908.9330000000009</v>
      </c>
      <c r="X52" s="914">
        <f t="shared" si="10"/>
        <v>47718.866999999998</v>
      </c>
    </row>
    <row r="53" spans="1:24" ht="13.5" x14ac:dyDescent="0.25">
      <c r="A53" s="910" t="s">
        <v>585</v>
      </c>
      <c r="B53" s="910">
        <v>75029000</v>
      </c>
      <c r="C53" s="910">
        <v>9677906</v>
      </c>
      <c r="D53" s="910">
        <v>9677906</v>
      </c>
      <c r="E53" s="910">
        <v>65351094</v>
      </c>
      <c r="F53" s="910">
        <f t="shared" si="2"/>
        <v>75029</v>
      </c>
      <c r="G53" s="910">
        <f t="shared" si="3"/>
        <v>9677.9060000000009</v>
      </c>
      <c r="H53" s="910">
        <f t="shared" si="4"/>
        <v>9677.9060000000009</v>
      </c>
      <c r="I53" s="910">
        <f t="shared" si="5"/>
        <v>65351.093999999997</v>
      </c>
      <c r="L53" s="544" t="s">
        <v>374</v>
      </c>
      <c r="M53" s="545">
        <v>1179804</v>
      </c>
      <c r="N53" s="545">
        <f t="shared" si="6"/>
        <v>1179.8040000000001</v>
      </c>
      <c r="P53" s="544" t="s">
        <v>585</v>
      </c>
      <c r="Q53" s="545">
        <v>75029000</v>
      </c>
      <c r="R53" s="545">
        <v>16888624</v>
      </c>
      <c r="S53" s="545">
        <v>16888624</v>
      </c>
      <c r="T53" s="545">
        <v>58140376</v>
      </c>
      <c r="U53" s="545">
        <f t="shared" si="7"/>
        <v>75029</v>
      </c>
      <c r="V53" s="914">
        <f t="shared" si="8"/>
        <v>16888.624</v>
      </c>
      <c r="W53" s="914">
        <f t="shared" si="9"/>
        <v>16888.624</v>
      </c>
      <c r="X53" s="914">
        <f t="shared" si="10"/>
        <v>58140.375999999997</v>
      </c>
    </row>
    <row r="54" spans="1:24" ht="13.5" x14ac:dyDescent="0.25">
      <c r="A54" s="910" t="s">
        <v>827</v>
      </c>
      <c r="B54" s="910">
        <v>500000</v>
      </c>
      <c r="C54" s="910">
        <v>0</v>
      </c>
      <c r="D54" s="910">
        <v>0</v>
      </c>
      <c r="E54" s="910">
        <v>500000</v>
      </c>
      <c r="F54" s="910">
        <f t="shared" si="2"/>
        <v>500</v>
      </c>
      <c r="G54" s="910">
        <f t="shared" si="3"/>
        <v>0</v>
      </c>
      <c r="H54" s="910">
        <f t="shared" si="4"/>
        <v>0</v>
      </c>
      <c r="I54" s="910">
        <f t="shared" si="5"/>
        <v>500</v>
      </c>
      <c r="L54" s="544" t="s">
        <v>375</v>
      </c>
      <c r="M54" s="545">
        <v>2209212</v>
      </c>
      <c r="N54" s="545">
        <f t="shared" si="6"/>
        <v>2209.212</v>
      </c>
      <c r="P54" s="544" t="s">
        <v>827</v>
      </c>
      <c r="Q54" s="545">
        <v>500000</v>
      </c>
      <c r="R54" s="545">
        <v>0</v>
      </c>
      <c r="S54" s="545">
        <v>0</v>
      </c>
      <c r="T54" s="545">
        <v>500000</v>
      </c>
      <c r="U54" s="545">
        <f t="shared" si="7"/>
        <v>500</v>
      </c>
      <c r="V54" s="914">
        <f t="shared" si="8"/>
        <v>0</v>
      </c>
      <c r="W54" s="914">
        <f t="shared" si="9"/>
        <v>0</v>
      </c>
      <c r="X54" s="914">
        <f t="shared" si="10"/>
        <v>500</v>
      </c>
    </row>
    <row r="55" spans="1:24" ht="13.5" x14ac:dyDescent="0.25">
      <c r="A55" s="910" t="s">
        <v>358</v>
      </c>
      <c r="B55" s="910">
        <v>119357391</v>
      </c>
      <c r="C55" s="910">
        <v>24079041</v>
      </c>
      <c r="D55" s="910">
        <v>24079041</v>
      </c>
      <c r="E55" s="910">
        <v>95278350</v>
      </c>
      <c r="F55" s="910">
        <f t="shared" si="2"/>
        <v>119357.391</v>
      </c>
      <c r="G55" s="910">
        <f t="shared" si="3"/>
        <v>24079.041000000001</v>
      </c>
      <c r="H55" s="910">
        <f t="shared" si="4"/>
        <v>24079.041000000001</v>
      </c>
      <c r="I55" s="910">
        <f t="shared" si="5"/>
        <v>95278.35</v>
      </c>
      <c r="L55" s="544" t="s">
        <v>377</v>
      </c>
      <c r="M55" s="545">
        <v>1490</v>
      </c>
      <c r="N55" s="545">
        <f t="shared" si="6"/>
        <v>1.49</v>
      </c>
      <c r="P55" s="544" t="s">
        <v>358</v>
      </c>
      <c r="Q55" s="545">
        <v>119357391</v>
      </c>
      <c r="R55" s="545">
        <v>24079041</v>
      </c>
      <c r="S55" s="545">
        <v>24079041</v>
      </c>
      <c r="T55" s="545">
        <v>95278350</v>
      </c>
      <c r="U55" s="545">
        <f t="shared" si="7"/>
        <v>119357.391</v>
      </c>
      <c r="V55" s="914">
        <f t="shared" si="8"/>
        <v>24079.041000000001</v>
      </c>
      <c r="W55" s="914">
        <f t="shared" si="9"/>
        <v>24079.041000000001</v>
      </c>
      <c r="X55" s="914">
        <f t="shared" si="10"/>
        <v>95278.35</v>
      </c>
    </row>
    <row r="56" spans="1:24" ht="13.5" x14ac:dyDescent="0.25">
      <c r="A56" s="910" t="s">
        <v>359</v>
      </c>
      <c r="B56" s="910">
        <v>38806479</v>
      </c>
      <c r="C56" s="910">
        <v>0</v>
      </c>
      <c r="D56" s="910">
        <v>0</v>
      </c>
      <c r="E56" s="910">
        <v>38806479</v>
      </c>
      <c r="F56" s="910">
        <f t="shared" si="2"/>
        <v>38806.478999999999</v>
      </c>
      <c r="G56" s="910">
        <f t="shared" si="3"/>
        <v>0</v>
      </c>
      <c r="H56" s="910">
        <f t="shared" si="4"/>
        <v>0</v>
      </c>
      <c r="I56" s="910">
        <f t="shared" si="5"/>
        <v>38806.478999999999</v>
      </c>
      <c r="L56" s="544" t="s">
        <v>378</v>
      </c>
      <c r="M56" s="545">
        <v>27325740</v>
      </c>
      <c r="N56" s="545">
        <f t="shared" si="6"/>
        <v>27325.74</v>
      </c>
      <c r="P56" s="544" t="s">
        <v>359</v>
      </c>
      <c r="Q56" s="545">
        <v>38806479</v>
      </c>
      <c r="R56" s="545">
        <v>0</v>
      </c>
      <c r="S56" s="545">
        <v>0</v>
      </c>
      <c r="T56" s="545">
        <v>38806479</v>
      </c>
      <c r="U56" s="545">
        <f t="shared" si="7"/>
        <v>38806.478999999999</v>
      </c>
      <c r="V56" s="914">
        <f t="shared" si="8"/>
        <v>0</v>
      </c>
      <c r="W56" s="914">
        <f t="shared" si="9"/>
        <v>0</v>
      </c>
      <c r="X56" s="914">
        <f t="shared" si="10"/>
        <v>38806.478999999999</v>
      </c>
    </row>
    <row r="57" spans="1:24" ht="13.5" x14ac:dyDescent="0.25">
      <c r="A57" s="910" t="s">
        <v>461</v>
      </c>
      <c r="B57" s="910">
        <v>18445888</v>
      </c>
      <c r="C57" s="910">
        <v>0</v>
      </c>
      <c r="D57" s="910">
        <v>0</v>
      </c>
      <c r="E57" s="910">
        <v>18445888</v>
      </c>
      <c r="F57" s="910">
        <f t="shared" si="2"/>
        <v>18445.887999999999</v>
      </c>
      <c r="G57" s="910">
        <f t="shared" si="3"/>
        <v>0</v>
      </c>
      <c r="H57" s="910">
        <f t="shared" si="4"/>
        <v>0</v>
      </c>
      <c r="I57" s="910">
        <f t="shared" si="5"/>
        <v>18445.887999999999</v>
      </c>
      <c r="L57" s="544" t="s">
        <v>559</v>
      </c>
      <c r="M57" s="545">
        <v>3733333</v>
      </c>
      <c r="N57" s="545">
        <f t="shared" si="6"/>
        <v>3733.3330000000001</v>
      </c>
      <c r="P57" s="544" t="s">
        <v>461</v>
      </c>
      <c r="Q57" s="545">
        <v>18445888</v>
      </c>
      <c r="R57" s="545">
        <v>0</v>
      </c>
      <c r="S57" s="545">
        <v>0</v>
      </c>
      <c r="T57" s="545">
        <v>18445888</v>
      </c>
      <c r="U57" s="545">
        <f t="shared" si="7"/>
        <v>18445.887999999999</v>
      </c>
      <c r="V57" s="914">
        <f t="shared" si="8"/>
        <v>0</v>
      </c>
      <c r="W57" s="914">
        <f t="shared" si="9"/>
        <v>0</v>
      </c>
      <c r="X57" s="914">
        <f t="shared" si="10"/>
        <v>18445.887999999999</v>
      </c>
    </row>
    <row r="58" spans="1:24" ht="13.5" x14ac:dyDescent="0.25">
      <c r="A58" s="910" t="s">
        <v>360</v>
      </c>
      <c r="B58" s="910">
        <v>62105024</v>
      </c>
      <c r="C58" s="910">
        <v>24079041</v>
      </c>
      <c r="D58" s="910">
        <v>24079041</v>
      </c>
      <c r="E58" s="910">
        <v>38025983</v>
      </c>
      <c r="F58" s="910">
        <f t="shared" si="2"/>
        <v>62105.023999999998</v>
      </c>
      <c r="G58" s="910">
        <f t="shared" si="3"/>
        <v>24079.041000000001</v>
      </c>
      <c r="H58" s="910">
        <f t="shared" si="4"/>
        <v>24079.041000000001</v>
      </c>
      <c r="I58" s="910">
        <f t="shared" si="5"/>
        <v>38025.983</v>
      </c>
      <c r="L58" s="544" t="s">
        <v>381</v>
      </c>
      <c r="M58" s="545">
        <v>3011057</v>
      </c>
      <c r="N58" s="545">
        <f t="shared" si="6"/>
        <v>3011.0569999999998</v>
      </c>
      <c r="P58" s="544" t="s">
        <v>360</v>
      </c>
      <c r="Q58" s="545">
        <v>62105024</v>
      </c>
      <c r="R58" s="545">
        <v>24079041</v>
      </c>
      <c r="S58" s="545">
        <v>24079041</v>
      </c>
      <c r="T58" s="545">
        <v>38025983</v>
      </c>
      <c r="U58" s="545">
        <f t="shared" si="7"/>
        <v>62105.023999999998</v>
      </c>
      <c r="V58" s="914">
        <f t="shared" si="8"/>
        <v>24079.041000000001</v>
      </c>
      <c r="W58" s="914">
        <f t="shared" si="9"/>
        <v>24079.041000000001</v>
      </c>
      <c r="X58" s="914">
        <f t="shared" si="10"/>
        <v>38025.983</v>
      </c>
    </row>
    <row r="59" spans="1:24" ht="13.5" x14ac:dyDescent="0.25">
      <c r="A59" s="910" t="s">
        <v>361</v>
      </c>
      <c r="B59" s="910">
        <v>1131969563</v>
      </c>
      <c r="C59" s="910">
        <v>79652243</v>
      </c>
      <c r="D59" s="910">
        <v>79652243</v>
      </c>
      <c r="E59" s="910">
        <v>1052317320</v>
      </c>
      <c r="F59" s="910">
        <f t="shared" si="2"/>
        <v>1131969.5630000001</v>
      </c>
      <c r="G59" s="910">
        <f t="shared" si="3"/>
        <v>79652.243000000002</v>
      </c>
      <c r="H59" s="910">
        <f t="shared" si="4"/>
        <v>79652.243000000002</v>
      </c>
      <c r="I59" s="910">
        <f t="shared" si="5"/>
        <v>1052317.32</v>
      </c>
      <c r="L59" s="544" t="s">
        <v>560</v>
      </c>
      <c r="M59" s="545">
        <v>2618595</v>
      </c>
      <c r="N59" s="545">
        <f t="shared" si="6"/>
        <v>2618.5949999999998</v>
      </c>
      <c r="P59" s="544" t="s">
        <v>361</v>
      </c>
      <c r="Q59" s="545">
        <v>1131969563</v>
      </c>
      <c r="R59" s="545">
        <v>157169983</v>
      </c>
      <c r="S59" s="545">
        <v>157169983</v>
      </c>
      <c r="T59" s="545">
        <v>974799580</v>
      </c>
      <c r="U59" s="545">
        <f t="shared" si="7"/>
        <v>1131969.5630000001</v>
      </c>
      <c r="V59" s="914">
        <f t="shared" si="8"/>
        <v>157169.98300000001</v>
      </c>
      <c r="W59" s="914">
        <f t="shared" si="9"/>
        <v>157169.98300000001</v>
      </c>
      <c r="X59" s="914">
        <f t="shared" si="10"/>
        <v>974799.58</v>
      </c>
    </row>
    <row r="60" spans="1:24" ht="13.5" x14ac:dyDescent="0.25">
      <c r="A60" s="910" t="s">
        <v>549</v>
      </c>
      <c r="B60" s="910">
        <v>1038046000</v>
      </c>
      <c r="C60" s="910">
        <v>75001527</v>
      </c>
      <c r="D60" s="910">
        <v>75001527</v>
      </c>
      <c r="E60" s="910">
        <v>963044473</v>
      </c>
      <c r="F60" s="910">
        <f t="shared" si="2"/>
        <v>1038046</v>
      </c>
      <c r="G60" s="910">
        <f t="shared" si="3"/>
        <v>75001.527000000002</v>
      </c>
      <c r="H60" s="910">
        <f t="shared" si="4"/>
        <v>75001.527000000002</v>
      </c>
      <c r="I60" s="910">
        <f t="shared" si="5"/>
        <v>963044.473</v>
      </c>
      <c r="L60" s="544" t="s">
        <v>561</v>
      </c>
      <c r="M60" s="545">
        <v>172550</v>
      </c>
      <c r="N60" s="545">
        <f t="shared" si="6"/>
        <v>172.55</v>
      </c>
      <c r="P60" s="544" t="s">
        <v>549</v>
      </c>
      <c r="Q60" s="545">
        <v>1038046000</v>
      </c>
      <c r="R60" s="545">
        <v>150193909</v>
      </c>
      <c r="S60" s="545">
        <v>150193909</v>
      </c>
      <c r="T60" s="545">
        <v>887852091</v>
      </c>
      <c r="U60" s="545">
        <f t="shared" si="7"/>
        <v>1038046</v>
      </c>
      <c r="V60" s="914">
        <f t="shared" si="8"/>
        <v>150193.90900000001</v>
      </c>
      <c r="W60" s="914">
        <f t="shared" si="9"/>
        <v>150193.90900000001</v>
      </c>
      <c r="X60" s="914">
        <f t="shared" si="10"/>
        <v>887852.09100000001</v>
      </c>
    </row>
    <row r="61" spans="1:24" ht="13.5" x14ac:dyDescent="0.25">
      <c r="A61" s="910" t="s">
        <v>550</v>
      </c>
      <c r="B61" s="910">
        <v>1018733000</v>
      </c>
      <c r="C61" s="910">
        <v>74008732</v>
      </c>
      <c r="D61" s="910">
        <v>74008732</v>
      </c>
      <c r="E61" s="910">
        <v>944724268</v>
      </c>
      <c r="F61" s="910">
        <f t="shared" si="2"/>
        <v>1018733</v>
      </c>
      <c r="G61" s="910">
        <f t="shared" si="3"/>
        <v>74008.732000000004</v>
      </c>
      <c r="H61" s="910">
        <f t="shared" si="4"/>
        <v>74008.732000000004</v>
      </c>
      <c r="I61" s="910">
        <f t="shared" si="5"/>
        <v>944724.26800000004</v>
      </c>
      <c r="L61" s="544" t="s">
        <v>563</v>
      </c>
      <c r="M61" s="545">
        <v>219912</v>
      </c>
      <c r="N61" s="545">
        <f t="shared" si="6"/>
        <v>219.91200000000001</v>
      </c>
      <c r="P61" s="544" t="s">
        <v>550</v>
      </c>
      <c r="Q61" s="545">
        <v>1018733000</v>
      </c>
      <c r="R61" s="545">
        <v>148388246</v>
      </c>
      <c r="S61" s="545">
        <v>148388246</v>
      </c>
      <c r="T61" s="545">
        <v>870344754</v>
      </c>
      <c r="U61" s="545">
        <f t="shared" si="7"/>
        <v>1018733</v>
      </c>
      <c r="V61" s="914">
        <f t="shared" si="8"/>
        <v>148388.24600000001</v>
      </c>
      <c r="W61" s="914">
        <f t="shared" si="9"/>
        <v>148388.24600000001</v>
      </c>
      <c r="X61" s="914">
        <f t="shared" si="10"/>
        <v>870344.75399999996</v>
      </c>
    </row>
    <row r="62" spans="1:24" ht="13.5" x14ac:dyDescent="0.25">
      <c r="A62" s="910" t="s">
        <v>551</v>
      </c>
      <c r="B62" s="910">
        <v>19313000</v>
      </c>
      <c r="C62" s="910">
        <v>992795</v>
      </c>
      <c r="D62" s="910">
        <v>992795</v>
      </c>
      <c r="E62" s="910">
        <v>18320205</v>
      </c>
      <c r="F62" s="910">
        <f t="shared" si="2"/>
        <v>19313</v>
      </c>
      <c r="G62" s="910">
        <f t="shared" si="3"/>
        <v>992.79499999999996</v>
      </c>
      <c r="H62" s="910">
        <f t="shared" si="4"/>
        <v>992.79499999999996</v>
      </c>
      <c r="I62" s="910">
        <f t="shared" si="5"/>
        <v>18320.205000000002</v>
      </c>
      <c r="L62" s="544" t="s">
        <v>383</v>
      </c>
      <c r="M62" s="545">
        <v>3465203</v>
      </c>
      <c r="N62" s="545">
        <f t="shared" si="6"/>
        <v>3465.203</v>
      </c>
      <c r="P62" s="544" t="s">
        <v>551</v>
      </c>
      <c r="Q62" s="545">
        <v>19313000</v>
      </c>
      <c r="R62" s="545">
        <v>1805663</v>
      </c>
      <c r="S62" s="545">
        <v>1805663</v>
      </c>
      <c r="T62" s="545">
        <v>17507337</v>
      </c>
      <c r="U62" s="545">
        <f t="shared" si="7"/>
        <v>19313</v>
      </c>
      <c r="V62" s="914">
        <f t="shared" si="8"/>
        <v>1805.663</v>
      </c>
      <c r="W62" s="914">
        <f t="shared" si="9"/>
        <v>1805.663</v>
      </c>
      <c r="X62" s="914">
        <f t="shared" si="10"/>
        <v>17507.337</v>
      </c>
    </row>
    <row r="63" spans="1:24" ht="13.5" x14ac:dyDescent="0.25">
      <c r="A63" s="910" t="s">
        <v>362</v>
      </c>
      <c r="B63" s="910">
        <v>93923563</v>
      </c>
      <c r="C63" s="910">
        <v>4650716</v>
      </c>
      <c r="D63" s="910">
        <v>4650716</v>
      </c>
      <c r="E63" s="910">
        <v>89272847</v>
      </c>
      <c r="F63" s="910">
        <f t="shared" si="2"/>
        <v>93923.562999999995</v>
      </c>
      <c r="G63" s="910">
        <f t="shared" si="3"/>
        <v>4650.7160000000003</v>
      </c>
      <c r="H63" s="910">
        <f t="shared" si="4"/>
        <v>4650.7160000000003</v>
      </c>
      <c r="I63" s="910">
        <f t="shared" si="5"/>
        <v>89272.846999999994</v>
      </c>
      <c r="L63" s="544" t="s">
        <v>384</v>
      </c>
      <c r="M63" s="545">
        <v>3405703</v>
      </c>
      <c r="N63" s="545">
        <f t="shared" si="6"/>
        <v>3405.703</v>
      </c>
      <c r="P63" s="544" t="s">
        <v>362</v>
      </c>
      <c r="Q63" s="545">
        <v>93923563</v>
      </c>
      <c r="R63" s="545">
        <v>6976074</v>
      </c>
      <c r="S63" s="545">
        <v>6976074</v>
      </c>
      <c r="T63" s="545">
        <v>86947489</v>
      </c>
      <c r="U63" s="545">
        <f t="shared" si="7"/>
        <v>93923.562999999995</v>
      </c>
      <c r="V63" s="914">
        <f t="shared" si="8"/>
        <v>6976.0739999999996</v>
      </c>
      <c r="W63" s="914">
        <f t="shared" si="9"/>
        <v>6976.0739999999996</v>
      </c>
      <c r="X63" s="914">
        <f t="shared" si="10"/>
        <v>86947.489000000001</v>
      </c>
    </row>
    <row r="64" spans="1:24" ht="13.5" x14ac:dyDescent="0.25">
      <c r="A64" s="910" t="s">
        <v>364</v>
      </c>
      <c r="B64" s="910">
        <v>2796789000</v>
      </c>
      <c r="C64" s="910">
        <v>26731971</v>
      </c>
      <c r="D64" s="910">
        <v>1622134291</v>
      </c>
      <c r="E64" s="910">
        <v>1174654709</v>
      </c>
      <c r="F64" s="910">
        <f t="shared" si="2"/>
        <v>2796789</v>
      </c>
      <c r="G64" s="910">
        <f t="shared" si="3"/>
        <v>26731.971000000001</v>
      </c>
      <c r="H64" s="910">
        <f t="shared" si="4"/>
        <v>1622134.291</v>
      </c>
      <c r="I64" s="910">
        <f t="shared" si="5"/>
        <v>1174654.709</v>
      </c>
      <c r="L64" s="544" t="s">
        <v>385</v>
      </c>
      <c r="M64" s="545">
        <v>59500</v>
      </c>
      <c r="N64" s="545">
        <f t="shared" si="6"/>
        <v>59.5</v>
      </c>
      <c r="P64" s="544" t="s">
        <v>364</v>
      </c>
      <c r="Q64" s="545">
        <v>2796789000</v>
      </c>
      <c r="R64" s="545">
        <v>172037897</v>
      </c>
      <c r="S64" s="545">
        <v>2312863070</v>
      </c>
      <c r="T64" s="545">
        <v>483925930</v>
      </c>
      <c r="U64" s="545">
        <f t="shared" si="7"/>
        <v>2796789</v>
      </c>
      <c r="V64" s="914">
        <f t="shared" si="8"/>
        <v>172037.897</v>
      </c>
      <c r="W64" s="914">
        <f t="shared" si="9"/>
        <v>2312863.0699999998</v>
      </c>
      <c r="X64" s="914">
        <f t="shared" si="10"/>
        <v>483925.93</v>
      </c>
    </row>
    <row r="65" spans="1:24" ht="13.5" x14ac:dyDescent="0.25">
      <c r="A65" s="910" t="s">
        <v>365</v>
      </c>
      <c r="B65" s="910">
        <v>23000000</v>
      </c>
      <c r="C65" s="910">
        <v>0</v>
      </c>
      <c r="D65" s="910">
        <v>0</v>
      </c>
      <c r="E65" s="910">
        <v>23000000</v>
      </c>
      <c r="F65" s="910">
        <f t="shared" si="2"/>
        <v>23000</v>
      </c>
      <c r="G65" s="910">
        <f t="shared" si="3"/>
        <v>0</v>
      </c>
      <c r="H65" s="910">
        <f t="shared" si="4"/>
        <v>0</v>
      </c>
      <c r="I65" s="910">
        <f t="shared" si="5"/>
        <v>23000</v>
      </c>
      <c r="L65" s="544" t="s">
        <v>386</v>
      </c>
      <c r="M65" s="545">
        <v>29443782</v>
      </c>
      <c r="N65" s="545">
        <f t="shared" si="6"/>
        <v>29443.781999999999</v>
      </c>
      <c r="P65" s="544" t="s">
        <v>1064</v>
      </c>
      <c r="Q65" s="545">
        <v>150000</v>
      </c>
      <c r="R65" s="545">
        <v>0</v>
      </c>
      <c r="S65" s="545">
        <v>149999</v>
      </c>
      <c r="T65" s="545">
        <v>1</v>
      </c>
      <c r="U65" s="545">
        <f t="shared" si="7"/>
        <v>150</v>
      </c>
      <c r="V65" s="914">
        <f t="shared" si="8"/>
        <v>0</v>
      </c>
      <c r="W65" s="914">
        <f t="shared" si="9"/>
        <v>149.999</v>
      </c>
      <c r="X65" s="914">
        <f t="shared" si="10"/>
        <v>1E-3</v>
      </c>
    </row>
    <row r="66" spans="1:24" ht="13.5" x14ac:dyDescent="0.25">
      <c r="A66" s="910" t="s">
        <v>552</v>
      </c>
      <c r="B66" s="910">
        <v>18000000</v>
      </c>
      <c r="C66" s="910">
        <v>0</v>
      </c>
      <c r="D66" s="910">
        <v>0</v>
      </c>
      <c r="E66" s="910">
        <v>18000000</v>
      </c>
      <c r="F66" s="910">
        <f t="shared" si="2"/>
        <v>18000</v>
      </c>
      <c r="G66" s="910">
        <f t="shared" si="3"/>
        <v>0</v>
      </c>
      <c r="H66" s="910">
        <f t="shared" si="4"/>
        <v>0</v>
      </c>
      <c r="I66" s="910">
        <f t="shared" si="5"/>
        <v>18000</v>
      </c>
      <c r="L66" s="544" t="s">
        <v>387</v>
      </c>
      <c r="M66" s="545">
        <v>8118847</v>
      </c>
      <c r="N66" s="545">
        <f t="shared" si="6"/>
        <v>8118.8469999999998</v>
      </c>
      <c r="P66" s="544" t="s">
        <v>1065</v>
      </c>
      <c r="Q66" s="545">
        <v>150000</v>
      </c>
      <c r="R66" s="545">
        <v>0</v>
      </c>
      <c r="S66" s="545">
        <v>149999</v>
      </c>
      <c r="T66" s="545">
        <v>1</v>
      </c>
      <c r="U66" s="545">
        <f t="shared" si="7"/>
        <v>150</v>
      </c>
      <c r="V66" s="914">
        <f t="shared" si="8"/>
        <v>0</v>
      </c>
      <c r="W66" s="914">
        <f t="shared" si="9"/>
        <v>149.999</v>
      </c>
      <c r="X66" s="914">
        <f t="shared" si="10"/>
        <v>1E-3</v>
      </c>
    </row>
    <row r="67" spans="1:24" ht="13.5" x14ac:dyDescent="0.25">
      <c r="A67" s="910" t="s">
        <v>366</v>
      </c>
      <c r="B67" s="910">
        <v>5000000</v>
      </c>
      <c r="C67" s="910">
        <v>0</v>
      </c>
      <c r="D67" s="910">
        <v>0</v>
      </c>
      <c r="E67" s="910">
        <v>5000000</v>
      </c>
      <c r="F67" s="910">
        <f t="shared" si="2"/>
        <v>5000</v>
      </c>
      <c r="G67" s="910">
        <f t="shared" si="3"/>
        <v>0</v>
      </c>
      <c r="H67" s="910">
        <f t="shared" si="4"/>
        <v>0</v>
      </c>
      <c r="I67" s="910">
        <f t="shared" si="5"/>
        <v>5000</v>
      </c>
      <c r="L67" s="544" t="s">
        <v>471</v>
      </c>
      <c r="M67" s="545">
        <v>972055</v>
      </c>
      <c r="N67" s="545">
        <f t="shared" si="6"/>
        <v>972.05499999999995</v>
      </c>
      <c r="P67" s="544" t="s">
        <v>365</v>
      </c>
      <c r="Q67" s="545">
        <v>23000000</v>
      </c>
      <c r="R67" s="545">
        <v>7179392</v>
      </c>
      <c r="S67" s="545">
        <v>7179392</v>
      </c>
      <c r="T67" s="545">
        <v>15820608</v>
      </c>
      <c r="U67" s="545">
        <f t="shared" si="7"/>
        <v>23000</v>
      </c>
      <c r="V67" s="914">
        <f t="shared" si="8"/>
        <v>7179.3919999999998</v>
      </c>
      <c r="W67" s="914">
        <f t="shared" si="9"/>
        <v>7179.3919999999998</v>
      </c>
      <c r="X67" s="914">
        <f t="shared" si="10"/>
        <v>15820.608</v>
      </c>
    </row>
    <row r="68" spans="1:24" ht="13.5" x14ac:dyDescent="0.25">
      <c r="A68" s="910" t="s">
        <v>479</v>
      </c>
      <c r="B68" s="910">
        <v>0</v>
      </c>
      <c r="C68" s="910">
        <v>0</v>
      </c>
      <c r="D68" s="910">
        <v>0</v>
      </c>
      <c r="E68" s="910">
        <v>0</v>
      </c>
      <c r="F68" s="910">
        <f t="shared" ref="F68:F131" si="11">+B68/$H$1*$I$1</f>
        <v>0</v>
      </c>
      <c r="G68" s="910">
        <f t="shared" ref="G68:G131" si="12">+C68/$H$1*$I$1</f>
        <v>0</v>
      </c>
      <c r="H68" s="910">
        <f t="shared" ref="H68:H131" si="13">+D68/$H$1*$I$1</f>
        <v>0</v>
      </c>
      <c r="I68" s="910">
        <f t="shared" ref="I68:I131" si="14">+E68/$H$1*$I$1</f>
        <v>0</v>
      </c>
      <c r="L68" s="544" t="s">
        <v>565</v>
      </c>
      <c r="M68" s="545">
        <v>9602362</v>
      </c>
      <c r="N68" s="545">
        <f t="shared" ref="N68:N91" si="15">+M68/$M$1*$N$1</f>
        <v>9602.3619999999992</v>
      </c>
      <c r="P68" s="544" t="s">
        <v>552</v>
      </c>
      <c r="Q68" s="545">
        <v>18000000</v>
      </c>
      <c r="R68" s="545">
        <v>5947568</v>
      </c>
      <c r="S68" s="545">
        <v>5947568</v>
      </c>
      <c r="T68" s="545">
        <v>12052432</v>
      </c>
      <c r="U68" s="545">
        <f t="shared" ref="U68:U131" si="16">+Q68/$W$1*$X$1</f>
        <v>18000</v>
      </c>
      <c r="V68" s="914">
        <f t="shared" ref="V68:V131" si="17">+R68/$W$1*$X$1</f>
        <v>5947.5680000000002</v>
      </c>
      <c r="W68" s="914">
        <f t="shared" ref="W68:W131" si="18">+S68/$W$1*$X$1</f>
        <v>5947.5680000000002</v>
      </c>
      <c r="X68" s="914">
        <f t="shared" ref="X68:X131" si="19">+T68/$W$1*$X$1</f>
        <v>12052.432000000001</v>
      </c>
    </row>
    <row r="69" spans="1:24" ht="13.5" x14ac:dyDescent="0.25">
      <c r="A69" s="910" t="s">
        <v>480</v>
      </c>
      <c r="B69" s="910">
        <v>0</v>
      </c>
      <c r="C69" s="910">
        <v>0</v>
      </c>
      <c r="D69" s="910">
        <v>0</v>
      </c>
      <c r="E69" s="910">
        <v>0</v>
      </c>
      <c r="F69" s="910">
        <f t="shared" si="11"/>
        <v>0</v>
      </c>
      <c r="G69" s="910">
        <f t="shared" si="12"/>
        <v>0</v>
      </c>
      <c r="H69" s="910">
        <f t="shared" si="13"/>
        <v>0</v>
      </c>
      <c r="I69" s="910">
        <f t="shared" si="14"/>
        <v>0</v>
      </c>
      <c r="L69" s="544" t="s">
        <v>566</v>
      </c>
      <c r="M69" s="545">
        <v>4512180</v>
      </c>
      <c r="N69" s="545">
        <f t="shared" si="15"/>
        <v>4512.18</v>
      </c>
      <c r="P69" s="544" t="s">
        <v>366</v>
      </c>
      <c r="Q69" s="545">
        <v>5000000</v>
      </c>
      <c r="R69" s="545">
        <v>1231824</v>
      </c>
      <c r="S69" s="545">
        <v>1231824</v>
      </c>
      <c r="T69" s="545">
        <v>3768176</v>
      </c>
      <c r="U69" s="545">
        <f t="shared" si="16"/>
        <v>5000</v>
      </c>
      <c r="V69" s="914">
        <f t="shared" si="17"/>
        <v>1231.8240000000001</v>
      </c>
      <c r="W69" s="914">
        <f t="shared" si="18"/>
        <v>1231.8240000000001</v>
      </c>
      <c r="X69" s="914">
        <f t="shared" si="19"/>
        <v>3768.1759999999999</v>
      </c>
    </row>
    <row r="70" spans="1:24" ht="13.5" x14ac:dyDescent="0.25">
      <c r="A70" s="910" t="s">
        <v>367</v>
      </c>
      <c r="B70" s="910">
        <v>35764204</v>
      </c>
      <c r="C70" s="910">
        <v>921992</v>
      </c>
      <c r="D70" s="910">
        <v>13332163</v>
      </c>
      <c r="E70" s="910">
        <v>22432041</v>
      </c>
      <c r="F70" s="910">
        <f t="shared" si="11"/>
        <v>35764.203999999998</v>
      </c>
      <c r="G70" s="910">
        <f t="shared" si="12"/>
        <v>921.99199999999996</v>
      </c>
      <c r="H70" s="910">
        <f t="shared" si="13"/>
        <v>13332.163</v>
      </c>
      <c r="I70" s="910">
        <f t="shared" si="14"/>
        <v>22432.041000000001</v>
      </c>
      <c r="L70" s="544" t="s">
        <v>567</v>
      </c>
      <c r="M70" s="545">
        <v>149881</v>
      </c>
      <c r="N70" s="545">
        <f t="shared" si="15"/>
        <v>149.881</v>
      </c>
      <c r="P70" s="544" t="s">
        <v>479</v>
      </c>
      <c r="Q70" s="545">
        <v>0</v>
      </c>
      <c r="R70" s="545">
        <v>0</v>
      </c>
      <c r="S70" s="545">
        <v>0</v>
      </c>
      <c r="T70" s="545">
        <v>0</v>
      </c>
      <c r="U70" s="545">
        <f t="shared" si="16"/>
        <v>0</v>
      </c>
      <c r="V70" s="914">
        <f t="shared" si="17"/>
        <v>0</v>
      </c>
      <c r="W70" s="914">
        <f t="shared" si="18"/>
        <v>0</v>
      </c>
      <c r="X70" s="914">
        <f t="shared" si="19"/>
        <v>0</v>
      </c>
    </row>
    <row r="71" spans="1:24" ht="13.5" x14ac:dyDescent="0.25">
      <c r="A71" s="910" t="s">
        <v>368</v>
      </c>
      <c r="B71" s="910">
        <v>10321700</v>
      </c>
      <c r="C71" s="910">
        <v>70001</v>
      </c>
      <c r="D71" s="910">
        <v>3342478</v>
      </c>
      <c r="E71" s="910">
        <v>6979222</v>
      </c>
      <c r="F71" s="910">
        <f t="shared" si="11"/>
        <v>10321.700000000001</v>
      </c>
      <c r="G71" s="910">
        <f t="shared" si="12"/>
        <v>70.001000000000005</v>
      </c>
      <c r="H71" s="910">
        <f t="shared" si="13"/>
        <v>3342.4780000000001</v>
      </c>
      <c r="I71" s="910">
        <f t="shared" si="14"/>
        <v>6979.2219999999998</v>
      </c>
      <c r="L71" s="544" t="s">
        <v>388</v>
      </c>
      <c r="M71" s="545">
        <v>6088457</v>
      </c>
      <c r="N71" s="545">
        <f t="shared" si="15"/>
        <v>6088.4570000000003</v>
      </c>
      <c r="P71" s="544" t="s">
        <v>480</v>
      </c>
      <c r="Q71" s="545">
        <v>0</v>
      </c>
      <c r="R71" s="545">
        <v>0</v>
      </c>
      <c r="S71" s="545">
        <v>0</v>
      </c>
      <c r="T71" s="545">
        <v>0</v>
      </c>
      <c r="U71" s="545">
        <f t="shared" si="16"/>
        <v>0</v>
      </c>
      <c r="V71" s="914">
        <f t="shared" si="17"/>
        <v>0</v>
      </c>
      <c r="W71" s="914">
        <f t="shared" si="18"/>
        <v>0</v>
      </c>
      <c r="X71" s="914">
        <f t="shared" si="19"/>
        <v>0</v>
      </c>
    </row>
    <row r="72" spans="1:24" ht="13.5" x14ac:dyDescent="0.25">
      <c r="A72" s="910" t="s">
        <v>992</v>
      </c>
      <c r="B72" s="910">
        <v>427211</v>
      </c>
      <c r="C72" s="910">
        <v>427211</v>
      </c>
      <c r="D72" s="910">
        <v>427211</v>
      </c>
      <c r="E72" s="910">
        <v>0</v>
      </c>
      <c r="F72" s="910">
        <f t="shared" si="11"/>
        <v>427.21100000000001</v>
      </c>
      <c r="G72" s="910">
        <f t="shared" si="12"/>
        <v>427.21100000000001</v>
      </c>
      <c r="H72" s="910">
        <f t="shared" si="13"/>
        <v>427.21100000000001</v>
      </c>
      <c r="I72" s="910">
        <f t="shared" si="14"/>
        <v>0</v>
      </c>
      <c r="L72" s="544" t="s">
        <v>389</v>
      </c>
      <c r="M72" s="545">
        <v>52687199</v>
      </c>
      <c r="N72" s="545">
        <f t="shared" si="15"/>
        <v>52687.199000000001</v>
      </c>
      <c r="P72" s="544" t="s">
        <v>367</v>
      </c>
      <c r="Q72" s="545">
        <v>31627816</v>
      </c>
      <c r="R72" s="545">
        <v>11880424</v>
      </c>
      <c r="S72" s="545">
        <v>15818495</v>
      </c>
      <c r="T72" s="545">
        <v>15809321</v>
      </c>
      <c r="U72" s="545">
        <f t="shared" si="16"/>
        <v>31627.815999999999</v>
      </c>
      <c r="V72" s="914">
        <f t="shared" si="17"/>
        <v>11880.424000000001</v>
      </c>
      <c r="W72" s="914">
        <f t="shared" si="18"/>
        <v>15818.495000000001</v>
      </c>
      <c r="X72" s="914">
        <f t="shared" si="19"/>
        <v>15809.321</v>
      </c>
    </row>
    <row r="73" spans="1:24" ht="13.5" x14ac:dyDescent="0.25">
      <c r="A73" s="910" t="s">
        <v>750</v>
      </c>
      <c r="B73" s="910">
        <v>1013077</v>
      </c>
      <c r="C73" s="910">
        <v>0</v>
      </c>
      <c r="D73" s="910">
        <v>0</v>
      </c>
      <c r="E73" s="910">
        <v>1013077</v>
      </c>
      <c r="F73" s="910">
        <f t="shared" si="11"/>
        <v>1013.077</v>
      </c>
      <c r="G73" s="910">
        <f t="shared" si="12"/>
        <v>0</v>
      </c>
      <c r="H73" s="910">
        <f t="shared" si="13"/>
        <v>0</v>
      </c>
      <c r="I73" s="910">
        <f t="shared" si="14"/>
        <v>1013.077</v>
      </c>
      <c r="L73" s="544" t="s">
        <v>390</v>
      </c>
      <c r="M73" s="545">
        <v>37955685</v>
      </c>
      <c r="N73" s="545">
        <f t="shared" si="15"/>
        <v>37955.684999999998</v>
      </c>
      <c r="P73" s="544" t="s">
        <v>368</v>
      </c>
      <c r="Q73" s="545">
        <v>6203978</v>
      </c>
      <c r="R73" s="545">
        <v>3342478</v>
      </c>
      <c r="S73" s="545">
        <v>3342478</v>
      </c>
      <c r="T73" s="545">
        <v>2861500</v>
      </c>
      <c r="U73" s="545">
        <f t="shared" si="16"/>
        <v>6203.9780000000001</v>
      </c>
      <c r="V73" s="914">
        <f t="shared" si="17"/>
        <v>3342.4780000000001</v>
      </c>
      <c r="W73" s="914">
        <f t="shared" si="18"/>
        <v>3342.4780000000001</v>
      </c>
      <c r="X73" s="914">
        <f t="shared" si="19"/>
        <v>2861.5</v>
      </c>
    </row>
    <row r="74" spans="1:24" ht="13.5" x14ac:dyDescent="0.25">
      <c r="A74" s="910" t="s">
        <v>370</v>
      </c>
      <c r="B74" s="910">
        <v>5015980</v>
      </c>
      <c r="C74" s="910">
        <v>15980</v>
      </c>
      <c r="D74" s="910">
        <v>15980</v>
      </c>
      <c r="E74" s="910">
        <v>5000000</v>
      </c>
      <c r="F74" s="910">
        <f t="shared" si="11"/>
        <v>5015.9799999999996</v>
      </c>
      <c r="G74" s="910">
        <f t="shared" si="12"/>
        <v>15.98</v>
      </c>
      <c r="H74" s="910">
        <f t="shared" si="13"/>
        <v>15.98</v>
      </c>
      <c r="I74" s="910">
        <f t="shared" si="14"/>
        <v>5000</v>
      </c>
      <c r="L74" s="544" t="s">
        <v>568</v>
      </c>
      <c r="M74" s="545">
        <v>1862688</v>
      </c>
      <c r="N74" s="545">
        <f t="shared" si="15"/>
        <v>1862.6880000000001</v>
      </c>
      <c r="P74" s="544" t="s">
        <v>992</v>
      </c>
      <c r="Q74" s="545">
        <v>427211</v>
      </c>
      <c r="R74" s="545">
        <v>427211</v>
      </c>
      <c r="S74" s="545">
        <v>427211</v>
      </c>
      <c r="T74" s="545">
        <v>0</v>
      </c>
      <c r="U74" s="545">
        <f t="shared" si="16"/>
        <v>427.21100000000001</v>
      </c>
      <c r="V74" s="914">
        <f t="shared" si="17"/>
        <v>427.21100000000001</v>
      </c>
      <c r="W74" s="914">
        <f t="shared" si="18"/>
        <v>427.21100000000001</v>
      </c>
      <c r="X74" s="914">
        <f t="shared" si="19"/>
        <v>0</v>
      </c>
    </row>
    <row r="75" spans="1:24" ht="13.5" x14ac:dyDescent="0.25">
      <c r="A75" s="910" t="s">
        <v>555</v>
      </c>
      <c r="B75" s="910">
        <v>9200000</v>
      </c>
      <c r="C75" s="910">
        <v>0</v>
      </c>
      <c r="D75" s="910">
        <v>5331200</v>
      </c>
      <c r="E75" s="910">
        <v>3868800</v>
      </c>
      <c r="F75" s="910">
        <f t="shared" si="11"/>
        <v>9200</v>
      </c>
      <c r="G75" s="910">
        <f t="shared" si="12"/>
        <v>0</v>
      </c>
      <c r="H75" s="910">
        <f t="shared" si="13"/>
        <v>5331.2</v>
      </c>
      <c r="I75" s="910">
        <f t="shared" si="14"/>
        <v>3868.8</v>
      </c>
      <c r="L75" s="544" t="s">
        <v>569</v>
      </c>
      <c r="M75" s="545">
        <v>10479968</v>
      </c>
      <c r="N75" s="545">
        <f t="shared" si="15"/>
        <v>10479.968000000001</v>
      </c>
      <c r="P75" s="544" t="s">
        <v>750</v>
      </c>
      <c r="Q75" s="545">
        <v>1013077</v>
      </c>
      <c r="R75" s="545">
        <v>0</v>
      </c>
      <c r="S75" s="545">
        <v>0</v>
      </c>
      <c r="T75" s="545">
        <v>1013077</v>
      </c>
      <c r="U75" s="545">
        <f t="shared" si="16"/>
        <v>1013.077</v>
      </c>
      <c r="V75" s="914">
        <f t="shared" si="17"/>
        <v>0</v>
      </c>
      <c r="W75" s="914">
        <f t="shared" si="18"/>
        <v>0</v>
      </c>
      <c r="X75" s="914">
        <f t="shared" si="19"/>
        <v>1013.077</v>
      </c>
    </row>
    <row r="76" spans="1:24" ht="13.5" x14ac:dyDescent="0.25">
      <c r="A76" s="910" t="s">
        <v>556</v>
      </c>
      <c r="B76" s="910">
        <v>2083896</v>
      </c>
      <c r="C76" s="910">
        <v>0</v>
      </c>
      <c r="D76" s="910">
        <v>1843992</v>
      </c>
      <c r="E76" s="910">
        <v>239904</v>
      </c>
      <c r="F76" s="910">
        <f t="shared" si="11"/>
        <v>2083.8960000000002</v>
      </c>
      <c r="G76" s="910">
        <f t="shared" si="12"/>
        <v>0</v>
      </c>
      <c r="H76" s="910">
        <f t="shared" si="13"/>
        <v>1843.992</v>
      </c>
      <c r="I76" s="910">
        <f t="shared" si="14"/>
        <v>239.904</v>
      </c>
      <c r="L76" s="544" t="s">
        <v>472</v>
      </c>
      <c r="M76" s="545">
        <v>2388858</v>
      </c>
      <c r="N76" s="545">
        <f t="shared" si="15"/>
        <v>2388.8580000000002</v>
      </c>
      <c r="P76" s="544" t="s">
        <v>370</v>
      </c>
      <c r="Q76" s="545">
        <v>4790880</v>
      </c>
      <c r="R76" s="545">
        <v>15980</v>
      </c>
      <c r="S76" s="545">
        <v>15980</v>
      </c>
      <c r="T76" s="545">
        <v>4774900</v>
      </c>
      <c r="U76" s="545">
        <f t="shared" si="16"/>
        <v>4790.88</v>
      </c>
      <c r="V76" s="914">
        <f t="shared" si="17"/>
        <v>15.98</v>
      </c>
      <c r="W76" s="914">
        <f t="shared" si="18"/>
        <v>15.98</v>
      </c>
      <c r="X76" s="914">
        <f t="shared" si="19"/>
        <v>4774.8999999999996</v>
      </c>
    </row>
    <row r="77" spans="1:24" ht="13.5" x14ac:dyDescent="0.25">
      <c r="A77" s="910" t="s">
        <v>557</v>
      </c>
      <c r="B77" s="910">
        <v>1000000</v>
      </c>
      <c r="C77" s="910">
        <v>0</v>
      </c>
      <c r="D77" s="910">
        <v>390234</v>
      </c>
      <c r="E77" s="910">
        <v>609766</v>
      </c>
      <c r="F77" s="910">
        <f t="shared" si="11"/>
        <v>1000</v>
      </c>
      <c r="G77" s="910">
        <f t="shared" si="12"/>
        <v>0</v>
      </c>
      <c r="H77" s="910">
        <f t="shared" si="13"/>
        <v>390.23399999999998</v>
      </c>
      <c r="I77" s="910">
        <f t="shared" si="14"/>
        <v>609.76599999999996</v>
      </c>
      <c r="L77" s="544" t="s">
        <v>571</v>
      </c>
      <c r="M77" s="545">
        <v>1866674</v>
      </c>
      <c r="N77" s="545">
        <f t="shared" si="15"/>
        <v>1866.674</v>
      </c>
      <c r="P77" s="544" t="s">
        <v>555</v>
      </c>
      <c r="Q77" s="545">
        <v>9200000</v>
      </c>
      <c r="R77" s="545">
        <v>5331200</v>
      </c>
      <c r="S77" s="545">
        <v>7391566</v>
      </c>
      <c r="T77" s="545">
        <v>1808434</v>
      </c>
      <c r="U77" s="545">
        <f t="shared" si="16"/>
        <v>9200</v>
      </c>
      <c r="V77" s="914">
        <f t="shared" si="17"/>
        <v>5331.2</v>
      </c>
      <c r="W77" s="914">
        <f t="shared" si="18"/>
        <v>7391.5659999999998</v>
      </c>
      <c r="X77" s="914">
        <f t="shared" si="19"/>
        <v>1808.434</v>
      </c>
    </row>
    <row r="78" spans="1:24" ht="13.5" x14ac:dyDescent="0.25">
      <c r="A78" s="910" t="s">
        <v>558</v>
      </c>
      <c r="B78" s="910">
        <v>2293540</v>
      </c>
      <c r="C78" s="910">
        <v>0</v>
      </c>
      <c r="D78" s="910">
        <v>0</v>
      </c>
      <c r="E78" s="910">
        <v>2293540</v>
      </c>
      <c r="F78" s="910">
        <f t="shared" si="11"/>
        <v>2293.54</v>
      </c>
      <c r="G78" s="910">
        <f t="shared" si="12"/>
        <v>0</v>
      </c>
      <c r="H78" s="910">
        <f t="shared" si="13"/>
        <v>0</v>
      </c>
      <c r="I78" s="910">
        <f t="shared" si="14"/>
        <v>2293.54</v>
      </c>
      <c r="L78" s="544" t="s">
        <v>394</v>
      </c>
      <c r="M78" s="545">
        <v>1866674</v>
      </c>
      <c r="N78" s="545">
        <f t="shared" si="15"/>
        <v>1866.674</v>
      </c>
      <c r="P78" s="544" t="s">
        <v>556</v>
      </c>
      <c r="Q78" s="545">
        <v>2083896</v>
      </c>
      <c r="R78" s="545">
        <v>1386933</v>
      </c>
      <c r="S78" s="545">
        <v>1843992</v>
      </c>
      <c r="T78" s="545">
        <v>239904</v>
      </c>
      <c r="U78" s="545">
        <f t="shared" si="16"/>
        <v>2083.8960000000002</v>
      </c>
      <c r="V78" s="914">
        <f t="shared" si="17"/>
        <v>1386.933</v>
      </c>
      <c r="W78" s="914">
        <f t="shared" si="18"/>
        <v>1843.992</v>
      </c>
      <c r="X78" s="914">
        <f t="shared" si="19"/>
        <v>239.904</v>
      </c>
    </row>
    <row r="79" spans="1:24" ht="13.5" x14ac:dyDescent="0.25">
      <c r="A79" s="910" t="s">
        <v>371</v>
      </c>
      <c r="B79" s="910">
        <v>4000000</v>
      </c>
      <c r="C79" s="910">
        <v>0</v>
      </c>
      <c r="D79" s="910">
        <v>1572268</v>
      </c>
      <c r="E79" s="910">
        <v>2427732</v>
      </c>
      <c r="F79" s="910">
        <f t="shared" si="11"/>
        <v>4000</v>
      </c>
      <c r="G79" s="910">
        <f t="shared" si="12"/>
        <v>0</v>
      </c>
      <c r="H79" s="910">
        <f t="shared" si="13"/>
        <v>1572.268</v>
      </c>
      <c r="I79" s="910">
        <f t="shared" si="14"/>
        <v>2427.732</v>
      </c>
      <c r="L79" s="544" t="s">
        <v>572</v>
      </c>
      <c r="M79" s="545">
        <v>2244608</v>
      </c>
      <c r="N79" s="545">
        <f t="shared" si="15"/>
        <v>2244.6080000000002</v>
      </c>
      <c r="P79" s="544" t="s">
        <v>557</v>
      </c>
      <c r="Q79" s="545">
        <v>1140984</v>
      </c>
      <c r="R79" s="545">
        <v>750750</v>
      </c>
      <c r="S79" s="545">
        <v>750750</v>
      </c>
      <c r="T79" s="545">
        <v>390234</v>
      </c>
      <c r="U79" s="545">
        <f t="shared" si="16"/>
        <v>1140.9839999999999</v>
      </c>
      <c r="V79" s="914">
        <f t="shared" si="17"/>
        <v>750.75</v>
      </c>
      <c r="W79" s="914">
        <f t="shared" si="18"/>
        <v>750.75</v>
      </c>
      <c r="X79" s="914">
        <f t="shared" si="19"/>
        <v>390.23399999999998</v>
      </c>
    </row>
    <row r="80" spans="1:24" ht="13.5" x14ac:dyDescent="0.25">
      <c r="A80" s="910" t="s">
        <v>372</v>
      </c>
      <c r="B80" s="910">
        <v>408800</v>
      </c>
      <c r="C80" s="910">
        <v>408800</v>
      </c>
      <c r="D80" s="910">
        <v>408800</v>
      </c>
      <c r="E80" s="910">
        <v>0</v>
      </c>
      <c r="F80" s="910">
        <f t="shared" si="11"/>
        <v>408.8</v>
      </c>
      <c r="G80" s="910">
        <f t="shared" si="12"/>
        <v>408.8</v>
      </c>
      <c r="H80" s="910">
        <f t="shared" si="13"/>
        <v>408.8</v>
      </c>
      <c r="I80" s="910">
        <f t="shared" si="14"/>
        <v>0</v>
      </c>
      <c r="L80" s="544" t="s">
        <v>396</v>
      </c>
      <c r="M80" s="545">
        <v>844609</v>
      </c>
      <c r="N80" s="545">
        <f t="shared" si="15"/>
        <v>844.60900000000004</v>
      </c>
      <c r="P80" s="544" t="s">
        <v>558</v>
      </c>
      <c r="Q80" s="545">
        <v>2293540</v>
      </c>
      <c r="R80" s="545">
        <v>0</v>
      </c>
      <c r="S80" s="545">
        <v>0</v>
      </c>
      <c r="T80" s="545">
        <v>2293540</v>
      </c>
      <c r="U80" s="545">
        <f t="shared" si="16"/>
        <v>2293.54</v>
      </c>
      <c r="V80" s="914">
        <f t="shared" si="17"/>
        <v>0</v>
      </c>
      <c r="W80" s="914">
        <f t="shared" si="18"/>
        <v>0</v>
      </c>
      <c r="X80" s="914">
        <f t="shared" si="19"/>
        <v>2293.54</v>
      </c>
    </row>
    <row r="81" spans="1:24" ht="13.5" x14ac:dyDescent="0.25">
      <c r="A81" s="910" t="s">
        <v>373</v>
      </c>
      <c r="B81" s="910">
        <v>109888418</v>
      </c>
      <c r="C81" s="910">
        <v>3292119</v>
      </c>
      <c r="D81" s="910">
        <v>91628771</v>
      </c>
      <c r="E81" s="910">
        <v>18259647</v>
      </c>
      <c r="F81" s="910">
        <f t="shared" si="11"/>
        <v>109888.41800000001</v>
      </c>
      <c r="G81" s="910">
        <f t="shared" si="12"/>
        <v>3292.1190000000001</v>
      </c>
      <c r="H81" s="910">
        <f t="shared" si="13"/>
        <v>91628.770999999993</v>
      </c>
      <c r="I81" s="910">
        <f t="shared" si="14"/>
        <v>18259.647000000001</v>
      </c>
      <c r="L81" s="544" t="s">
        <v>397</v>
      </c>
      <c r="M81" s="545">
        <v>1399999</v>
      </c>
      <c r="N81" s="545">
        <f t="shared" si="15"/>
        <v>1399.999</v>
      </c>
      <c r="P81" s="544" t="s">
        <v>371</v>
      </c>
      <c r="Q81" s="545">
        <v>4000000</v>
      </c>
      <c r="R81" s="545">
        <v>151622</v>
      </c>
      <c r="S81" s="545">
        <v>1572268</v>
      </c>
      <c r="T81" s="545">
        <v>2427732</v>
      </c>
      <c r="U81" s="545">
        <f t="shared" si="16"/>
        <v>4000</v>
      </c>
      <c r="V81" s="914">
        <f t="shared" si="17"/>
        <v>151.62200000000001</v>
      </c>
      <c r="W81" s="914">
        <f t="shared" si="18"/>
        <v>1572.268</v>
      </c>
      <c r="X81" s="914">
        <f t="shared" si="19"/>
        <v>2427.732</v>
      </c>
    </row>
    <row r="82" spans="1:24" ht="13.5" x14ac:dyDescent="0.25">
      <c r="A82" s="910" t="s">
        <v>374</v>
      </c>
      <c r="B82" s="910">
        <v>19300000</v>
      </c>
      <c r="C82" s="910">
        <v>1158889</v>
      </c>
      <c r="D82" s="910">
        <v>19300000</v>
      </c>
      <c r="E82" s="910">
        <v>0</v>
      </c>
      <c r="F82" s="910">
        <f t="shared" si="11"/>
        <v>19300</v>
      </c>
      <c r="G82" s="910">
        <f t="shared" si="12"/>
        <v>1158.8889999999999</v>
      </c>
      <c r="H82" s="910">
        <f t="shared" si="13"/>
        <v>19300</v>
      </c>
      <c r="I82" s="910">
        <f t="shared" si="14"/>
        <v>0</v>
      </c>
      <c r="L82" s="544" t="s">
        <v>398</v>
      </c>
      <c r="M82" s="545">
        <v>7213296</v>
      </c>
      <c r="N82" s="545">
        <f t="shared" si="15"/>
        <v>7213.2960000000003</v>
      </c>
      <c r="P82" s="544" t="s">
        <v>372</v>
      </c>
      <c r="Q82" s="545">
        <v>474250</v>
      </c>
      <c r="R82" s="545">
        <v>474250</v>
      </c>
      <c r="S82" s="545">
        <v>474250</v>
      </c>
      <c r="T82" s="545">
        <v>0</v>
      </c>
      <c r="U82" s="545">
        <f t="shared" si="16"/>
        <v>474.25</v>
      </c>
      <c r="V82" s="914">
        <f t="shared" si="17"/>
        <v>474.25</v>
      </c>
      <c r="W82" s="914">
        <f t="shared" si="18"/>
        <v>474.25</v>
      </c>
      <c r="X82" s="914">
        <f t="shared" si="19"/>
        <v>0</v>
      </c>
    </row>
    <row r="83" spans="1:24" ht="13.5" x14ac:dyDescent="0.25">
      <c r="A83" s="910" t="s">
        <v>375</v>
      </c>
      <c r="B83" s="910">
        <v>16650000</v>
      </c>
      <c r="C83" s="910">
        <v>658863</v>
      </c>
      <c r="D83" s="910">
        <v>15335354</v>
      </c>
      <c r="E83" s="910">
        <v>1314646</v>
      </c>
      <c r="F83" s="910">
        <f t="shared" si="11"/>
        <v>16650</v>
      </c>
      <c r="G83" s="910">
        <f t="shared" si="12"/>
        <v>658.86300000000006</v>
      </c>
      <c r="H83" s="910">
        <f t="shared" si="13"/>
        <v>15335.353999999999</v>
      </c>
      <c r="I83" s="910">
        <f t="shared" si="14"/>
        <v>1314.646</v>
      </c>
      <c r="L83" s="544" t="s">
        <v>1015</v>
      </c>
      <c r="M83" s="545">
        <v>7213296</v>
      </c>
      <c r="N83" s="545">
        <f t="shared" si="15"/>
        <v>7213.2960000000003</v>
      </c>
      <c r="P83" s="544" t="s">
        <v>373</v>
      </c>
      <c r="Q83" s="545">
        <v>169842539</v>
      </c>
      <c r="R83" s="545">
        <v>37741698</v>
      </c>
      <c r="S83" s="545">
        <v>151745487</v>
      </c>
      <c r="T83" s="545">
        <v>18097052</v>
      </c>
      <c r="U83" s="545">
        <f t="shared" si="16"/>
        <v>169842.53899999999</v>
      </c>
      <c r="V83" s="914">
        <f t="shared" si="17"/>
        <v>37741.697999999997</v>
      </c>
      <c r="W83" s="914">
        <f t="shared" si="18"/>
        <v>151745.48699999999</v>
      </c>
      <c r="X83" s="914">
        <f t="shared" si="19"/>
        <v>18097.052</v>
      </c>
    </row>
    <row r="84" spans="1:24" ht="13.5" x14ac:dyDescent="0.25">
      <c r="A84" s="910" t="s">
        <v>376</v>
      </c>
      <c r="B84" s="910">
        <v>2500000</v>
      </c>
      <c r="C84" s="910">
        <v>80950</v>
      </c>
      <c r="D84" s="910">
        <v>1800000</v>
      </c>
      <c r="E84" s="910">
        <v>700000</v>
      </c>
      <c r="F84" s="910">
        <f t="shared" si="11"/>
        <v>2500</v>
      </c>
      <c r="G84" s="910">
        <f t="shared" si="12"/>
        <v>80.95</v>
      </c>
      <c r="H84" s="910">
        <f t="shared" si="13"/>
        <v>1800</v>
      </c>
      <c r="I84" s="910">
        <f t="shared" si="14"/>
        <v>700</v>
      </c>
      <c r="L84" s="544" t="s">
        <v>1016</v>
      </c>
      <c r="M84" s="545">
        <v>7213296</v>
      </c>
      <c r="N84" s="545">
        <f t="shared" si="15"/>
        <v>7213.2960000000003</v>
      </c>
      <c r="P84" s="544" t="s">
        <v>374</v>
      </c>
      <c r="Q84" s="545">
        <v>19300000</v>
      </c>
      <c r="R84" s="545">
        <v>2338693</v>
      </c>
      <c r="S84" s="545">
        <v>19300000</v>
      </c>
      <c r="T84" s="545">
        <v>0</v>
      </c>
      <c r="U84" s="545">
        <f t="shared" si="16"/>
        <v>19300</v>
      </c>
      <c r="V84" s="914">
        <f t="shared" si="17"/>
        <v>2338.6930000000002</v>
      </c>
      <c r="W84" s="914">
        <f t="shared" si="18"/>
        <v>19300</v>
      </c>
      <c r="X84" s="914">
        <f t="shared" si="19"/>
        <v>0</v>
      </c>
    </row>
    <row r="85" spans="1:24" ht="13.5" x14ac:dyDescent="0.25">
      <c r="A85" s="910" t="s">
        <v>377</v>
      </c>
      <c r="B85" s="910">
        <v>16572000</v>
      </c>
      <c r="C85" s="910">
        <v>0</v>
      </c>
      <c r="D85" s="910">
        <v>9000000</v>
      </c>
      <c r="E85" s="910">
        <v>7572000</v>
      </c>
      <c r="F85" s="910">
        <f t="shared" si="11"/>
        <v>16572</v>
      </c>
      <c r="G85" s="910">
        <f t="shared" si="12"/>
        <v>0</v>
      </c>
      <c r="H85" s="910">
        <f t="shared" si="13"/>
        <v>9000</v>
      </c>
      <c r="I85" s="910">
        <f t="shared" si="14"/>
        <v>7572</v>
      </c>
      <c r="L85" s="544" t="s">
        <v>597</v>
      </c>
      <c r="M85" s="545">
        <v>56827653</v>
      </c>
      <c r="N85" s="545">
        <f t="shared" si="15"/>
        <v>56827.652999999998</v>
      </c>
      <c r="P85" s="544" t="s">
        <v>375</v>
      </c>
      <c r="Q85" s="545">
        <v>15459405</v>
      </c>
      <c r="R85" s="545">
        <v>2868075</v>
      </c>
      <c r="S85" s="545">
        <v>15335354</v>
      </c>
      <c r="T85" s="545">
        <v>124051</v>
      </c>
      <c r="U85" s="545">
        <f t="shared" si="16"/>
        <v>15459.405000000001</v>
      </c>
      <c r="V85" s="914">
        <f t="shared" si="17"/>
        <v>2868.0749999999998</v>
      </c>
      <c r="W85" s="914">
        <f t="shared" si="18"/>
        <v>15335.353999999999</v>
      </c>
      <c r="X85" s="914">
        <f t="shared" si="19"/>
        <v>124.051</v>
      </c>
    </row>
    <row r="86" spans="1:24" ht="13.5" x14ac:dyDescent="0.25">
      <c r="A86" s="910" t="s">
        <v>378</v>
      </c>
      <c r="B86" s="910">
        <v>400000</v>
      </c>
      <c r="C86" s="910">
        <v>0</v>
      </c>
      <c r="D86" s="910">
        <v>0</v>
      </c>
      <c r="E86" s="910">
        <v>400000</v>
      </c>
      <c r="F86" s="910">
        <f t="shared" si="11"/>
        <v>400</v>
      </c>
      <c r="G86" s="910">
        <f t="shared" si="12"/>
        <v>0</v>
      </c>
      <c r="H86" s="910">
        <f t="shared" si="13"/>
        <v>0</v>
      </c>
      <c r="I86" s="910">
        <f t="shared" si="14"/>
        <v>400</v>
      </c>
      <c r="L86" s="544" t="s">
        <v>598</v>
      </c>
      <c r="M86" s="545">
        <v>56827653</v>
      </c>
      <c r="N86" s="545">
        <f t="shared" si="15"/>
        <v>56827.652999999998</v>
      </c>
      <c r="P86" s="544" t="s">
        <v>376</v>
      </c>
      <c r="Q86" s="545">
        <v>2500000</v>
      </c>
      <c r="R86" s="545">
        <v>80950</v>
      </c>
      <c r="S86" s="545">
        <v>1800000</v>
      </c>
      <c r="T86" s="545">
        <v>700000</v>
      </c>
      <c r="U86" s="545">
        <f t="shared" si="16"/>
        <v>2500</v>
      </c>
      <c r="V86" s="914">
        <f t="shared" si="17"/>
        <v>80.95</v>
      </c>
      <c r="W86" s="914">
        <f t="shared" si="18"/>
        <v>1800</v>
      </c>
      <c r="X86" s="914">
        <f t="shared" si="19"/>
        <v>700</v>
      </c>
    </row>
    <row r="87" spans="1:24" ht="13.5" x14ac:dyDescent="0.25">
      <c r="A87" s="910" t="s">
        <v>379</v>
      </c>
      <c r="B87" s="910">
        <v>1500000</v>
      </c>
      <c r="C87" s="910">
        <v>0</v>
      </c>
      <c r="D87" s="910">
        <v>0</v>
      </c>
      <c r="E87" s="910">
        <v>1500000</v>
      </c>
      <c r="F87" s="910">
        <f t="shared" si="11"/>
        <v>1500</v>
      </c>
      <c r="G87" s="910">
        <f t="shared" si="12"/>
        <v>0</v>
      </c>
      <c r="H87" s="910">
        <f t="shared" si="13"/>
        <v>0</v>
      </c>
      <c r="I87" s="910">
        <f t="shared" si="14"/>
        <v>1500</v>
      </c>
      <c r="L87" s="544" t="s">
        <v>852</v>
      </c>
      <c r="M87" s="545">
        <v>56827653</v>
      </c>
      <c r="N87" s="545">
        <f t="shared" si="15"/>
        <v>56827.652999999998</v>
      </c>
      <c r="P87" s="544" t="s">
        <v>377</v>
      </c>
      <c r="Q87" s="545">
        <v>18000000</v>
      </c>
      <c r="R87" s="545">
        <v>1490</v>
      </c>
      <c r="S87" s="545">
        <v>9000000</v>
      </c>
      <c r="T87" s="545">
        <v>9000000</v>
      </c>
      <c r="U87" s="545">
        <f t="shared" si="16"/>
        <v>18000</v>
      </c>
      <c r="V87" s="914">
        <f t="shared" si="17"/>
        <v>1.49</v>
      </c>
      <c r="W87" s="914">
        <f t="shared" si="18"/>
        <v>9000</v>
      </c>
      <c r="X87" s="914">
        <f t="shared" si="19"/>
        <v>9000</v>
      </c>
    </row>
    <row r="88" spans="1:24" ht="13.5" x14ac:dyDescent="0.25">
      <c r="A88" s="910" t="s">
        <v>380</v>
      </c>
      <c r="B88" s="910">
        <v>6773000</v>
      </c>
      <c r="C88" s="910">
        <v>0</v>
      </c>
      <c r="D88" s="910">
        <v>0</v>
      </c>
      <c r="E88" s="910">
        <v>6773000</v>
      </c>
      <c r="F88" s="910">
        <f t="shared" si="11"/>
        <v>6773</v>
      </c>
      <c r="G88" s="910">
        <f t="shared" si="12"/>
        <v>0</v>
      </c>
      <c r="H88" s="910">
        <f t="shared" si="13"/>
        <v>0</v>
      </c>
      <c r="I88" s="910">
        <f t="shared" si="14"/>
        <v>6773</v>
      </c>
      <c r="L88" s="544" t="s">
        <v>580</v>
      </c>
      <c r="M88" s="545">
        <v>25191001</v>
      </c>
      <c r="N88" s="545">
        <f t="shared" si="15"/>
        <v>25191.001</v>
      </c>
      <c r="P88" s="544" t="s">
        <v>378</v>
      </c>
      <c r="Q88" s="545">
        <v>60116716</v>
      </c>
      <c r="R88" s="545">
        <v>27325740</v>
      </c>
      <c r="S88" s="545">
        <v>60116716</v>
      </c>
      <c r="T88" s="545">
        <v>0</v>
      </c>
      <c r="U88" s="545">
        <f t="shared" si="16"/>
        <v>60116.716</v>
      </c>
      <c r="V88" s="914">
        <f t="shared" si="17"/>
        <v>27325.74</v>
      </c>
      <c r="W88" s="914">
        <f t="shared" si="18"/>
        <v>60116.716</v>
      </c>
      <c r="X88" s="914">
        <f t="shared" si="19"/>
        <v>0</v>
      </c>
    </row>
    <row r="89" spans="1:24" ht="13.5" x14ac:dyDescent="0.25">
      <c r="A89" s="910" t="s">
        <v>559</v>
      </c>
      <c r="B89" s="910">
        <v>46193418</v>
      </c>
      <c r="C89" s="910">
        <v>1393417</v>
      </c>
      <c r="D89" s="910">
        <v>46193417</v>
      </c>
      <c r="E89" s="910">
        <v>1</v>
      </c>
      <c r="F89" s="910">
        <f t="shared" si="11"/>
        <v>46193.417999999998</v>
      </c>
      <c r="G89" s="910">
        <f t="shared" si="12"/>
        <v>1393.4169999999999</v>
      </c>
      <c r="H89" s="910">
        <f t="shared" si="13"/>
        <v>46193.417000000001</v>
      </c>
      <c r="I89" s="910">
        <f t="shared" si="14"/>
        <v>1E-3</v>
      </c>
      <c r="L89" s="544" t="s">
        <v>774</v>
      </c>
      <c r="M89" s="545">
        <v>25191001</v>
      </c>
      <c r="N89" s="545">
        <f t="shared" si="15"/>
        <v>25191.001</v>
      </c>
      <c r="P89" s="544" t="s">
        <v>379</v>
      </c>
      <c r="Q89" s="545">
        <v>1500000</v>
      </c>
      <c r="R89" s="545">
        <v>0</v>
      </c>
      <c r="S89" s="545">
        <v>0</v>
      </c>
      <c r="T89" s="545">
        <v>1500000</v>
      </c>
      <c r="U89" s="545">
        <f t="shared" si="16"/>
        <v>1500</v>
      </c>
      <c r="V89" s="914">
        <f t="shared" si="17"/>
        <v>0</v>
      </c>
      <c r="W89" s="914">
        <f t="shared" si="18"/>
        <v>0</v>
      </c>
      <c r="X89" s="914">
        <f t="shared" si="19"/>
        <v>1500</v>
      </c>
    </row>
    <row r="90" spans="1:24" ht="13.5" x14ac:dyDescent="0.25">
      <c r="A90" s="910" t="s">
        <v>381</v>
      </c>
      <c r="B90" s="910">
        <v>37504447</v>
      </c>
      <c r="C90" s="910">
        <v>1884960</v>
      </c>
      <c r="D90" s="910">
        <v>20094030</v>
      </c>
      <c r="E90" s="910">
        <v>17410417</v>
      </c>
      <c r="F90" s="910">
        <f t="shared" si="11"/>
        <v>37504.447</v>
      </c>
      <c r="G90" s="910">
        <f t="shared" si="12"/>
        <v>1884.96</v>
      </c>
      <c r="H90" s="910">
        <f t="shared" si="13"/>
        <v>20094.03</v>
      </c>
      <c r="I90" s="910">
        <f t="shared" si="14"/>
        <v>17410.417000000001</v>
      </c>
      <c r="L90" s="544" t="s">
        <v>402</v>
      </c>
      <c r="M90" s="545">
        <v>2593828058</v>
      </c>
      <c r="N90" s="545">
        <f t="shared" si="15"/>
        <v>2593828.0580000002</v>
      </c>
      <c r="P90" s="544" t="s">
        <v>380</v>
      </c>
      <c r="Q90" s="545">
        <v>6773000</v>
      </c>
      <c r="R90" s="545">
        <v>0</v>
      </c>
      <c r="S90" s="545">
        <v>0</v>
      </c>
      <c r="T90" s="545">
        <v>6773000</v>
      </c>
      <c r="U90" s="545">
        <f t="shared" si="16"/>
        <v>6773</v>
      </c>
      <c r="V90" s="914">
        <f t="shared" si="17"/>
        <v>0</v>
      </c>
      <c r="W90" s="914">
        <f t="shared" si="18"/>
        <v>0</v>
      </c>
      <c r="X90" s="914">
        <f t="shared" si="19"/>
        <v>6773</v>
      </c>
    </row>
    <row r="91" spans="1:24" ht="13.5" x14ac:dyDescent="0.25">
      <c r="A91" s="910" t="s">
        <v>560</v>
      </c>
      <c r="B91" s="910">
        <v>17290247</v>
      </c>
      <c r="C91" s="910">
        <v>1884960</v>
      </c>
      <c r="D91" s="910">
        <v>15862247</v>
      </c>
      <c r="E91" s="910">
        <v>1428000</v>
      </c>
      <c r="F91" s="910">
        <f t="shared" si="11"/>
        <v>17290.246999999999</v>
      </c>
      <c r="G91" s="910">
        <f t="shared" si="12"/>
        <v>1884.96</v>
      </c>
      <c r="H91" s="910">
        <f t="shared" si="13"/>
        <v>15862.246999999999</v>
      </c>
      <c r="I91" s="910">
        <f t="shared" si="14"/>
        <v>1428</v>
      </c>
      <c r="L91" s="544" t="s">
        <v>403</v>
      </c>
      <c r="M91" s="545">
        <v>1729970892</v>
      </c>
      <c r="N91" s="545">
        <f t="shared" si="15"/>
        <v>1729970.892</v>
      </c>
      <c r="P91" s="544" t="s">
        <v>559</v>
      </c>
      <c r="Q91" s="545">
        <v>46193418</v>
      </c>
      <c r="R91" s="545">
        <v>5126750</v>
      </c>
      <c r="S91" s="545">
        <v>46193417</v>
      </c>
      <c r="T91" s="545">
        <v>1</v>
      </c>
      <c r="U91" s="545">
        <f t="shared" si="16"/>
        <v>46193.417999999998</v>
      </c>
      <c r="V91" s="914">
        <f t="shared" si="17"/>
        <v>5126.75</v>
      </c>
      <c r="W91" s="914">
        <f t="shared" si="18"/>
        <v>46193.417000000001</v>
      </c>
      <c r="X91" s="914">
        <f t="shared" si="19"/>
        <v>1E-3</v>
      </c>
    </row>
    <row r="92" spans="1:24" ht="13.5" x14ac:dyDescent="0.25">
      <c r="A92" s="910" t="s">
        <v>561</v>
      </c>
      <c r="B92" s="910">
        <v>14000000</v>
      </c>
      <c r="C92" s="910">
        <v>0</v>
      </c>
      <c r="D92" s="910">
        <v>710278</v>
      </c>
      <c r="E92" s="910">
        <v>13289722</v>
      </c>
      <c r="F92" s="910">
        <f t="shared" si="11"/>
        <v>14000</v>
      </c>
      <c r="G92" s="910">
        <f t="shared" si="12"/>
        <v>0</v>
      </c>
      <c r="H92" s="910">
        <f t="shared" si="13"/>
        <v>710.27800000000002</v>
      </c>
      <c r="I92" s="910">
        <f t="shared" si="14"/>
        <v>13289.722</v>
      </c>
      <c r="L92" s="544" t="s">
        <v>405</v>
      </c>
      <c r="M92" s="545">
        <v>863857166</v>
      </c>
      <c r="N92" s="545">
        <f>+M92/$M$1*$N$1</f>
        <v>863857.16599999997</v>
      </c>
      <c r="P92" s="544" t="s">
        <v>381</v>
      </c>
      <c r="Q92" s="545">
        <v>43432057</v>
      </c>
      <c r="R92" s="545">
        <v>4896017</v>
      </c>
      <c r="S92" s="545">
        <v>26474828</v>
      </c>
      <c r="T92" s="545">
        <v>16957229</v>
      </c>
      <c r="U92" s="545">
        <f t="shared" si="16"/>
        <v>43432.057000000001</v>
      </c>
      <c r="V92" s="914">
        <f t="shared" si="17"/>
        <v>4896.0169999999998</v>
      </c>
      <c r="W92" s="914">
        <f t="shared" si="18"/>
        <v>26474.828000000001</v>
      </c>
      <c r="X92" s="914">
        <f t="shared" si="19"/>
        <v>16957.228999999999</v>
      </c>
    </row>
    <row r="93" spans="1:24" ht="13.5" x14ac:dyDescent="0.25">
      <c r="A93" s="910" t="s">
        <v>563</v>
      </c>
      <c r="B93" s="910">
        <v>214200</v>
      </c>
      <c r="C93" s="910">
        <v>0</v>
      </c>
      <c r="D93" s="910">
        <v>0</v>
      </c>
      <c r="E93" s="910">
        <v>214200</v>
      </c>
      <c r="F93" s="910">
        <f t="shared" si="11"/>
        <v>214.2</v>
      </c>
      <c r="G93" s="910">
        <f t="shared" si="12"/>
        <v>0</v>
      </c>
      <c r="H93" s="910">
        <f t="shared" si="13"/>
        <v>0</v>
      </c>
      <c r="I93" s="910">
        <f t="shared" si="14"/>
        <v>214.2</v>
      </c>
      <c r="P93" s="544" t="s">
        <v>560</v>
      </c>
      <c r="Q93" s="545">
        <v>22394795</v>
      </c>
      <c r="R93" s="545">
        <v>4503555</v>
      </c>
      <c r="S93" s="545">
        <v>19533273</v>
      </c>
      <c r="T93" s="545">
        <v>2861522</v>
      </c>
      <c r="U93" s="545">
        <f t="shared" si="16"/>
        <v>22394.794999999998</v>
      </c>
      <c r="V93" s="914">
        <f t="shared" si="17"/>
        <v>4503.5550000000003</v>
      </c>
      <c r="W93" s="914">
        <f t="shared" si="18"/>
        <v>19533.273000000001</v>
      </c>
      <c r="X93" s="914">
        <f t="shared" si="19"/>
        <v>2861.5219999999999</v>
      </c>
    </row>
    <row r="94" spans="1:24" ht="13.5" x14ac:dyDescent="0.25">
      <c r="A94" s="910" t="s">
        <v>564</v>
      </c>
      <c r="B94" s="910">
        <v>6000000</v>
      </c>
      <c r="C94" s="910">
        <v>0</v>
      </c>
      <c r="D94" s="910">
        <v>3521505</v>
      </c>
      <c r="E94" s="910">
        <v>2478495</v>
      </c>
      <c r="F94" s="910">
        <f t="shared" si="11"/>
        <v>6000</v>
      </c>
      <c r="G94" s="910">
        <f t="shared" si="12"/>
        <v>0</v>
      </c>
      <c r="H94" s="910">
        <f t="shared" si="13"/>
        <v>3521.5050000000001</v>
      </c>
      <c r="I94" s="910">
        <f t="shared" si="14"/>
        <v>2478.4949999999999</v>
      </c>
      <c r="P94" s="544" t="s">
        <v>561</v>
      </c>
      <c r="Q94" s="545">
        <v>14459993</v>
      </c>
      <c r="R94" s="545">
        <v>172550</v>
      </c>
      <c r="S94" s="545">
        <v>2842781</v>
      </c>
      <c r="T94" s="545">
        <v>11617212</v>
      </c>
      <c r="U94" s="545">
        <f t="shared" si="16"/>
        <v>14459.993</v>
      </c>
      <c r="V94" s="914">
        <f t="shared" si="17"/>
        <v>172.55</v>
      </c>
      <c r="W94" s="914">
        <f t="shared" si="18"/>
        <v>2842.7809999999999</v>
      </c>
      <c r="X94" s="914">
        <f t="shared" si="19"/>
        <v>11617.212</v>
      </c>
    </row>
    <row r="95" spans="1:24" ht="13.5" x14ac:dyDescent="0.25">
      <c r="A95" s="910" t="s">
        <v>383</v>
      </c>
      <c r="B95" s="910">
        <v>16010000</v>
      </c>
      <c r="C95" s="910">
        <v>10000</v>
      </c>
      <c r="D95" s="910">
        <v>3415703</v>
      </c>
      <c r="E95" s="910">
        <v>12594297</v>
      </c>
      <c r="F95" s="910">
        <f t="shared" si="11"/>
        <v>16010</v>
      </c>
      <c r="G95" s="910">
        <f t="shared" si="12"/>
        <v>10</v>
      </c>
      <c r="H95" s="910">
        <f t="shared" si="13"/>
        <v>3415.703</v>
      </c>
      <c r="I95" s="910">
        <f t="shared" si="14"/>
        <v>12594.297</v>
      </c>
      <c r="P95" s="544" t="s">
        <v>563</v>
      </c>
      <c r="Q95" s="545">
        <v>577269</v>
      </c>
      <c r="R95" s="545">
        <v>219912</v>
      </c>
      <c r="S95" s="545">
        <v>577269</v>
      </c>
      <c r="T95" s="545">
        <v>0</v>
      </c>
      <c r="U95" s="545">
        <f t="shared" si="16"/>
        <v>577.26900000000001</v>
      </c>
      <c r="V95" s="914">
        <f t="shared" si="17"/>
        <v>219.91200000000001</v>
      </c>
      <c r="W95" s="914">
        <f t="shared" si="18"/>
        <v>577.26900000000001</v>
      </c>
      <c r="X95" s="914">
        <f t="shared" si="19"/>
        <v>0</v>
      </c>
    </row>
    <row r="96" spans="1:24" ht="13.5" x14ac:dyDescent="0.25">
      <c r="A96" s="910" t="s">
        <v>384</v>
      </c>
      <c r="B96" s="910">
        <v>9000000</v>
      </c>
      <c r="C96" s="910">
        <v>0</v>
      </c>
      <c r="D96" s="910">
        <v>3405703</v>
      </c>
      <c r="E96" s="910">
        <v>5594297</v>
      </c>
      <c r="F96" s="910">
        <f t="shared" si="11"/>
        <v>9000</v>
      </c>
      <c r="G96" s="910">
        <f t="shared" si="12"/>
        <v>0</v>
      </c>
      <c r="H96" s="910">
        <f t="shared" si="13"/>
        <v>3405.703</v>
      </c>
      <c r="I96" s="910">
        <f t="shared" si="14"/>
        <v>5594.2969999999996</v>
      </c>
      <c r="P96" s="544" t="s">
        <v>564</v>
      </c>
      <c r="Q96" s="545">
        <v>6000000</v>
      </c>
      <c r="R96" s="545">
        <v>0</v>
      </c>
      <c r="S96" s="545">
        <v>3521505</v>
      </c>
      <c r="T96" s="545">
        <v>2478495</v>
      </c>
      <c r="U96" s="545">
        <f t="shared" si="16"/>
        <v>6000</v>
      </c>
      <c r="V96" s="914">
        <f t="shared" si="17"/>
        <v>0</v>
      </c>
      <c r="W96" s="914">
        <f t="shared" si="18"/>
        <v>3521.5050000000001</v>
      </c>
      <c r="X96" s="914">
        <f t="shared" si="19"/>
        <v>2478.4949999999999</v>
      </c>
    </row>
    <row r="97" spans="1:24" ht="13.5" x14ac:dyDescent="0.25">
      <c r="A97" s="910" t="s">
        <v>385</v>
      </c>
      <c r="B97" s="910">
        <v>7010000</v>
      </c>
      <c r="C97" s="910">
        <v>10000</v>
      </c>
      <c r="D97" s="910">
        <v>10000</v>
      </c>
      <c r="E97" s="910">
        <v>7000000</v>
      </c>
      <c r="F97" s="910">
        <f t="shared" si="11"/>
        <v>7010</v>
      </c>
      <c r="G97" s="910">
        <f t="shared" si="12"/>
        <v>10</v>
      </c>
      <c r="H97" s="910">
        <f t="shared" si="13"/>
        <v>10</v>
      </c>
      <c r="I97" s="910">
        <f t="shared" si="14"/>
        <v>7000</v>
      </c>
      <c r="P97" s="544" t="s">
        <v>383</v>
      </c>
      <c r="Q97" s="545">
        <v>16069500</v>
      </c>
      <c r="R97" s="545">
        <v>3475203</v>
      </c>
      <c r="S97" s="545">
        <v>4837484</v>
      </c>
      <c r="T97" s="545">
        <v>11232016</v>
      </c>
      <c r="U97" s="545">
        <f t="shared" si="16"/>
        <v>16069.5</v>
      </c>
      <c r="V97" s="914">
        <f t="shared" si="17"/>
        <v>3475.203</v>
      </c>
      <c r="W97" s="914">
        <f t="shared" si="18"/>
        <v>4837.4840000000004</v>
      </c>
      <c r="X97" s="914">
        <f t="shared" si="19"/>
        <v>11232.016</v>
      </c>
    </row>
    <row r="98" spans="1:24" ht="13.5" x14ac:dyDescent="0.25">
      <c r="A98" s="910" t="s">
        <v>386</v>
      </c>
      <c r="B98" s="910">
        <v>286316472</v>
      </c>
      <c r="C98" s="910">
        <v>11402038</v>
      </c>
      <c r="D98" s="910">
        <v>141778267</v>
      </c>
      <c r="E98" s="910">
        <v>144538205</v>
      </c>
      <c r="F98" s="910">
        <f t="shared" si="11"/>
        <v>286316.47200000001</v>
      </c>
      <c r="G98" s="910">
        <f t="shared" si="12"/>
        <v>11402.038</v>
      </c>
      <c r="H98" s="910">
        <f t="shared" si="13"/>
        <v>141778.26699999999</v>
      </c>
      <c r="I98" s="910">
        <f t="shared" si="14"/>
        <v>144538.20499999999</v>
      </c>
      <c r="P98" s="544" t="s">
        <v>384</v>
      </c>
      <c r="Q98" s="545">
        <v>9000000</v>
      </c>
      <c r="R98" s="545">
        <v>3405703</v>
      </c>
      <c r="S98" s="545">
        <v>4767984</v>
      </c>
      <c r="T98" s="545">
        <v>4232016</v>
      </c>
      <c r="U98" s="545">
        <f t="shared" si="16"/>
        <v>9000</v>
      </c>
      <c r="V98" s="914">
        <f t="shared" si="17"/>
        <v>3405.703</v>
      </c>
      <c r="W98" s="914">
        <f t="shared" si="18"/>
        <v>4767.9840000000004</v>
      </c>
      <c r="X98" s="914">
        <f t="shared" si="19"/>
        <v>4232.0159999999996</v>
      </c>
    </row>
    <row r="99" spans="1:24" ht="13.5" x14ac:dyDescent="0.25">
      <c r="A99" s="910" t="s">
        <v>387</v>
      </c>
      <c r="B99" s="910">
        <v>118014527</v>
      </c>
      <c r="C99" s="910">
        <v>4190284</v>
      </c>
      <c r="D99" s="910">
        <v>66367576</v>
      </c>
      <c r="E99" s="910">
        <v>51646951</v>
      </c>
      <c r="F99" s="910">
        <f t="shared" si="11"/>
        <v>118014.527</v>
      </c>
      <c r="G99" s="910">
        <f t="shared" si="12"/>
        <v>4190.2839999999997</v>
      </c>
      <c r="H99" s="910">
        <f t="shared" si="13"/>
        <v>66367.576000000001</v>
      </c>
      <c r="I99" s="910">
        <f t="shared" si="14"/>
        <v>51646.951000000001</v>
      </c>
      <c r="P99" s="544" t="s">
        <v>385</v>
      </c>
      <c r="Q99" s="545">
        <v>7069500</v>
      </c>
      <c r="R99" s="545">
        <v>69500</v>
      </c>
      <c r="S99" s="545">
        <v>69500</v>
      </c>
      <c r="T99" s="545">
        <v>7000000</v>
      </c>
      <c r="U99" s="545">
        <f t="shared" si="16"/>
        <v>7069.5</v>
      </c>
      <c r="V99" s="914">
        <f t="shared" si="17"/>
        <v>69.5</v>
      </c>
      <c r="W99" s="914">
        <f t="shared" si="18"/>
        <v>69.5</v>
      </c>
      <c r="X99" s="914">
        <f t="shared" si="19"/>
        <v>7000</v>
      </c>
    </row>
    <row r="100" spans="1:24" ht="13.5" x14ac:dyDescent="0.25">
      <c r="A100" s="910" t="s">
        <v>471</v>
      </c>
      <c r="B100" s="910">
        <v>500000</v>
      </c>
      <c r="C100" s="910">
        <v>0</v>
      </c>
      <c r="D100" s="910">
        <v>0</v>
      </c>
      <c r="E100" s="910">
        <v>500000</v>
      </c>
      <c r="F100" s="910">
        <f t="shared" si="11"/>
        <v>500</v>
      </c>
      <c r="G100" s="910">
        <f t="shared" si="12"/>
        <v>0</v>
      </c>
      <c r="H100" s="910">
        <f t="shared" si="13"/>
        <v>0</v>
      </c>
      <c r="I100" s="910">
        <f t="shared" si="14"/>
        <v>500</v>
      </c>
      <c r="P100" s="544" t="s">
        <v>386</v>
      </c>
      <c r="Q100" s="545">
        <v>443413628</v>
      </c>
      <c r="R100" s="545">
        <v>40845820</v>
      </c>
      <c r="S100" s="545">
        <v>245279508</v>
      </c>
      <c r="T100" s="545">
        <v>198134120</v>
      </c>
      <c r="U100" s="545">
        <f t="shared" si="16"/>
        <v>443413.62800000003</v>
      </c>
      <c r="V100" s="914">
        <f t="shared" si="17"/>
        <v>40845.82</v>
      </c>
      <c r="W100" s="914">
        <f t="shared" si="18"/>
        <v>245279.508</v>
      </c>
      <c r="X100" s="914">
        <f t="shared" si="19"/>
        <v>198134.12</v>
      </c>
    </row>
    <row r="101" spans="1:24" ht="13.5" x14ac:dyDescent="0.25">
      <c r="A101" s="910" t="s">
        <v>565</v>
      </c>
      <c r="B101" s="910">
        <v>48503899</v>
      </c>
      <c r="C101" s="910">
        <v>6652254</v>
      </c>
      <c r="D101" s="910">
        <v>46287435</v>
      </c>
      <c r="E101" s="910">
        <v>2216464</v>
      </c>
      <c r="F101" s="910">
        <f t="shared" si="11"/>
        <v>48503.898999999998</v>
      </c>
      <c r="G101" s="910">
        <f t="shared" si="12"/>
        <v>6652.2539999999999</v>
      </c>
      <c r="H101" s="910">
        <f t="shared" si="13"/>
        <v>46287.434999999998</v>
      </c>
      <c r="I101" s="910">
        <f t="shared" si="14"/>
        <v>2216.4639999999999</v>
      </c>
      <c r="P101" s="544" t="s">
        <v>387</v>
      </c>
      <c r="Q101" s="545">
        <v>120568531</v>
      </c>
      <c r="R101" s="545">
        <v>12309131</v>
      </c>
      <c r="S101" s="545">
        <v>87634980</v>
      </c>
      <c r="T101" s="545">
        <v>32933551</v>
      </c>
      <c r="U101" s="545">
        <f t="shared" si="16"/>
        <v>120568.531</v>
      </c>
      <c r="V101" s="914">
        <f t="shared" si="17"/>
        <v>12309.130999999999</v>
      </c>
      <c r="W101" s="914">
        <f t="shared" si="18"/>
        <v>87634.98</v>
      </c>
      <c r="X101" s="914">
        <f t="shared" si="19"/>
        <v>32933.550999999999</v>
      </c>
    </row>
    <row r="102" spans="1:24" ht="13.5" x14ac:dyDescent="0.25">
      <c r="A102" s="910" t="s">
        <v>566</v>
      </c>
      <c r="B102" s="910">
        <v>41983249</v>
      </c>
      <c r="C102" s="910">
        <v>0</v>
      </c>
      <c r="D102" s="910">
        <v>23146459</v>
      </c>
      <c r="E102" s="910">
        <v>18836790</v>
      </c>
      <c r="F102" s="910">
        <f t="shared" si="11"/>
        <v>41983.249000000003</v>
      </c>
      <c r="G102" s="910">
        <f t="shared" si="12"/>
        <v>0</v>
      </c>
      <c r="H102" s="910">
        <f t="shared" si="13"/>
        <v>23146.458999999999</v>
      </c>
      <c r="I102" s="910">
        <f t="shared" si="14"/>
        <v>18836.79</v>
      </c>
      <c r="P102" s="544" t="s">
        <v>471</v>
      </c>
      <c r="Q102" s="545">
        <v>12775580</v>
      </c>
      <c r="R102" s="545">
        <v>972055</v>
      </c>
      <c r="S102" s="545">
        <v>12775580</v>
      </c>
      <c r="T102" s="545">
        <v>0</v>
      </c>
      <c r="U102" s="545">
        <f t="shared" si="16"/>
        <v>12775.58</v>
      </c>
      <c r="V102" s="914">
        <f t="shared" si="17"/>
        <v>972.05499999999995</v>
      </c>
      <c r="W102" s="914">
        <f t="shared" si="18"/>
        <v>12775.58</v>
      </c>
      <c r="X102" s="914">
        <f t="shared" si="19"/>
        <v>0</v>
      </c>
    </row>
    <row r="103" spans="1:24" ht="13.5" x14ac:dyDescent="0.25">
      <c r="A103" s="910" t="s">
        <v>567</v>
      </c>
      <c r="B103" s="910">
        <v>3000000</v>
      </c>
      <c r="C103" s="910">
        <v>262000</v>
      </c>
      <c r="D103" s="910">
        <v>262000</v>
      </c>
      <c r="E103" s="910">
        <v>2738000</v>
      </c>
      <c r="F103" s="910">
        <f t="shared" si="11"/>
        <v>3000</v>
      </c>
      <c r="G103" s="910">
        <f t="shared" si="12"/>
        <v>262</v>
      </c>
      <c r="H103" s="910">
        <f t="shared" si="13"/>
        <v>262</v>
      </c>
      <c r="I103" s="910">
        <f t="shared" si="14"/>
        <v>2738</v>
      </c>
      <c r="P103" s="544" t="s">
        <v>565</v>
      </c>
      <c r="Q103" s="545">
        <v>122880441</v>
      </c>
      <c r="R103" s="545">
        <v>16254616</v>
      </c>
      <c r="S103" s="545">
        <v>53319236</v>
      </c>
      <c r="T103" s="545">
        <v>69561205</v>
      </c>
      <c r="U103" s="545">
        <f t="shared" si="16"/>
        <v>122880.44100000001</v>
      </c>
      <c r="V103" s="914">
        <f t="shared" si="17"/>
        <v>16254.616</v>
      </c>
      <c r="W103" s="914">
        <f t="shared" si="18"/>
        <v>53319.235999999997</v>
      </c>
      <c r="X103" s="914">
        <f t="shared" si="19"/>
        <v>69561.205000000002</v>
      </c>
    </row>
    <row r="104" spans="1:24" ht="13.5" x14ac:dyDescent="0.25">
      <c r="A104" s="910" t="s">
        <v>388</v>
      </c>
      <c r="B104" s="910">
        <v>74314797</v>
      </c>
      <c r="C104" s="910">
        <v>297500</v>
      </c>
      <c r="D104" s="910">
        <v>5714797</v>
      </c>
      <c r="E104" s="910">
        <v>68600000</v>
      </c>
      <c r="F104" s="910">
        <f t="shared" si="11"/>
        <v>74314.797000000006</v>
      </c>
      <c r="G104" s="910">
        <f t="shared" si="12"/>
        <v>297.5</v>
      </c>
      <c r="H104" s="910">
        <f t="shared" si="13"/>
        <v>5714.7969999999996</v>
      </c>
      <c r="I104" s="910">
        <f t="shared" si="14"/>
        <v>68600</v>
      </c>
      <c r="P104" s="544" t="s">
        <v>566</v>
      </c>
      <c r="Q104" s="545">
        <v>40374359</v>
      </c>
      <c r="R104" s="545">
        <v>4512180</v>
      </c>
      <c r="S104" s="545">
        <v>33537459</v>
      </c>
      <c r="T104" s="545">
        <v>6836900</v>
      </c>
      <c r="U104" s="545">
        <f t="shared" si="16"/>
        <v>40374.358999999997</v>
      </c>
      <c r="V104" s="914">
        <f t="shared" si="17"/>
        <v>4512.18</v>
      </c>
      <c r="W104" s="914">
        <f t="shared" si="18"/>
        <v>33537.459000000003</v>
      </c>
      <c r="X104" s="914">
        <f t="shared" si="19"/>
        <v>6836.9</v>
      </c>
    </row>
    <row r="105" spans="1:24" ht="13.5" x14ac:dyDescent="0.25">
      <c r="A105" s="910" t="s">
        <v>389</v>
      </c>
      <c r="B105" s="910">
        <v>1017845671</v>
      </c>
      <c r="C105" s="910">
        <v>9220862</v>
      </c>
      <c r="D105" s="910">
        <v>957198882</v>
      </c>
      <c r="E105" s="910">
        <v>60646789</v>
      </c>
      <c r="F105" s="910">
        <f t="shared" si="11"/>
        <v>1017845.671</v>
      </c>
      <c r="G105" s="910">
        <f t="shared" si="12"/>
        <v>9220.8619999999992</v>
      </c>
      <c r="H105" s="910">
        <f t="shared" si="13"/>
        <v>957198.88199999998</v>
      </c>
      <c r="I105" s="910">
        <f t="shared" si="14"/>
        <v>60646.788999999997</v>
      </c>
      <c r="P105" s="544" t="s">
        <v>567</v>
      </c>
      <c r="Q105" s="545">
        <v>3000000</v>
      </c>
      <c r="R105" s="545">
        <v>411881</v>
      </c>
      <c r="S105" s="545">
        <v>1374262</v>
      </c>
      <c r="T105" s="545">
        <v>1625738</v>
      </c>
      <c r="U105" s="545">
        <f t="shared" si="16"/>
        <v>3000</v>
      </c>
      <c r="V105" s="914">
        <f t="shared" si="17"/>
        <v>411.88099999999997</v>
      </c>
      <c r="W105" s="914">
        <f t="shared" si="18"/>
        <v>1374.2619999999999</v>
      </c>
      <c r="X105" s="914">
        <f t="shared" si="19"/>
        <v>1625.7380000000001</v>
      </c>
    </row>
    <row r="106" spans="1:24" ht="13.5" x14ac:dyDescent="0.25">
      <c r="A106" s="910" t="s">
        <v>390</v>
      </c>
      <c r="B106" s="910">
        <v>874508882</v>
      </c>
      <c r="C106" s="910">
        <v>9220862</v>
      </c>
      <c r="D106" s="910">
        <v>817198882</v>
      </c>
      <c r="E106" s="910">
        <v>57310000</v>
      </c>
      <c r="F106" s="910">
        <f t="shared" si="11"/>
        <v>874508.88199999998</v>
      </c>
      <c r="G106" s="910">
        <f t="shared" si="12"/>
        <v>9220.8619999999992</v>
      </c>
      <c r="H106" s="910">
        <f t="shared" si="13"/>
        <v>817198.88199999998</v>
      </c>
      <c r="I106" s="910">
        <f t="shared" si="14"/>
        <v>57310</v>
      </c>
      <c r="P106" s="544" t="s">
        <v>388</v>
      </c>
      <c r="Q106" s="545">
        <v>143814717</v>
      </c>
      <c r="R106" s="545">
        <v>6385957</v>
      </c>
      <c r="S106" s="545">
        <v>56637991</v>
      </c>
      <c r="T106" s="545">
        <v>87176726</v>
      </c>
      <c r="U106" s="545">
        <f t="shared" si="16"/>
        <v>143814.717</v>
      </c>
      <c r="V106" s="914">
        <f t="shared" si="17"/>
        <v>6385.9570000000003</v>
      </c>
      <c r="W106" s="914">
        <f t="shared" si="18"/>
        <v>56637.991000000002</v>
      </c>
      <c r="X106" s="914">
        <f t="shared" si="19"/>
        <v>87176.725999999995</v>
      </c>
    </row>
    <row r="107" spans="1:24" ht="13.5" x14ac:dyDescent="0.25">
      <c r="A107" s="910" t="s">
        <v>568</v>
      </c>
      <c r="B107" s="910">
        <v>28000000</v>
      </c>
      <c r="C107" s="910">
        <v>0</v>
      </c>
      <c r="D107" s="910">
        <v>28000000</v>
      </c>
      <c r="E107" s="910">
        <v>0</v>
      </c>
      <c r="F107" s="910">
        <f t="shared" si="11"/>
        <v>28000</v>
      </c>
      <c r="G107" s="910">
        <f t="shared" si="12"/>
        <v>0</v>
      </c>
      <c r="H107" s="910">
        <f t="shared" si="13"/>
        <v>28000</v>
      </c>
      <c r="I107" s="910">
        <f t="shared" si="14"/>
        <v>0</v>
      </c>
      <c r="P107" s="544" t="s">
        <v>389</v>
      </c>
      <c r="Q107" s="545">
        <v>1043333130</v>
      </c>
      <c r="R107" s="545">
        <v>61908061</v>
      </c>
      <c r="S107" s="545">
        <v>979461518</v>
      </c>
      <c r="T107" s="545">
        <v>63871612</v>
      </c>
      <c r="U107" s="545">
        <f t="shared" si="16"/>
        <v>1043333.13</v>
      </c>
      <c r="V107" s="914">
        <f t="shared" si="17"/>
        <v>61908.061000000002</v>
      </c>
      <c r="W107" s="914">
        <f t="shared" si="18"/>
        <v>979461.51800000004</v>
      </c>
      <c r="X107" s="914">
        <f t="shared" si="19"/>
        <v>63871.612000000001</v>
      </c>
    </row>
    <row r="108" spans="1:24" ht="13.5" x14ac:dyDescent="0.25">
      <c r="A108" s="910" t="s">
        <v>569</v>
      </c>
      <c r="B108" s="910">
        <v>112000000</v>
      </c>
      <c r="C108" s="910">
        <v>0</v>
      </c>
      <c r="D108" s="910">
        <v>112000000</v>
      </c>
      <c r="E108" s="910">
        <v>0</v>
      </c>
      <c r="F108" s="910">
        <f t="shared" si="11"/>
        <v>112000</v>
      </c>
      <c r="G108" s="910">
        <f t="shared" si="12"/>
        <v>0</v>
      </c>
      <c r="H108" s="910">
        <f t="shared" si="13"/>
        <v>112000</v>
      </c>
      <c r="I108" s="910">
        <f t="shared" si="14"/>
        <v>0</v>
      </c>
      <c r="P108" s="544" t="s">
        <v>390</v>
      </c>
      <c r="Q108" s="545">
        <v>874508882</v>
      </c>
      <c r="R108" s="545">
        <v>47176547</v>
      </c>
      <c r="S108" s="545">
        <v>810795222</v>
      </c>
      <c r="T108" s="545">
        <v>63713660</v>
      </c>
      <c r="U108" s="545">
        <f t="shared" si="16"/>
        <v>874508.88199999998</v>
      </c>
      <c r="V108" s="914">
        <f t="shared" si="17"/>
        <v>47176.546999999999</v>
      </c>
      <c r="W108" s="914">
        <f t="shared" si="18"/>
        <v>810795.22199999995</v>
      </c>
      <c r="X108" s="914">
        <f t="shared" si="19"/>
        <v>63713.66</v>
      </c>
    </row>
    <row r="109" spans="1:24" ht="13.5" x14ac:dyDescent="0.25">
      <c r="A109" s="910" t="s">
        <v>472</v>
      </c>
      <c r="B109" s="910">
        <v>3336789</v>
      </c>
      <c r="C109" s="910">
        <v>0</v>
      </c>
      <c r="D109" s="910">
        <v>0</v>
      </c>
      <c r="E109" s="910">
        <v>3336789</v>
      </c>
      <c r="F109" s="910">
        <f t="shared" si="11"/>
        <v>3336.7890000000002</v>
      </c>
      <c r="G109" s="910">
        <f t="shared" si="12"/>
        <v>0</v>
      </c>
      <c r="H109" s="910">
        <f t="shared" si="13"/>
        <v>0</v>
      </c>
      <c r="I109" s="910">
        <f t="shared" si="14"/>
        <v>3336.7890000000002</v>
      </c>
      <c r="P109" s="544" t="s">
        <v>568</v>
      </c>
      <c r="Q109" s="545">
        <v>28000000</v>
      </c>
      <c r="R109" s="545">
        <v>1862688</v>
      </c>
      <c r="S109" s="545">
        <v>28000000</v>
      </c>
      <c r="T109" s="545">
        <v>0</v>
      </c>
      <c r="U109" s="545">
        <f t="shared" si="16"/>
        <v>28000</v>
      </c>
      <c r="V109" s="914">
        <f t="shared" si="17"/>
        <v>1862.6880000000001</v>
      </c>
      <c r="W109" s="914">
        <f t="shared" si="18"/>
        <v>28000</v>
      </c>
      <c r="X109" s="914">
        <f t="shared" si="19"/>
        <v>0</v>
      </c>
    </row>
    <row r="110" spans="1:24" ht="13.5" x14ac:dyDescent="0.25">
      <c r="A110" s="910" t="s">
        <v>570</v>
      </c>
      <c r="B110" s="910">
        <v>5000000</v>
      </c>
      <c r="C110" s="910">
        <v>0</v>
      </c>
      <c r="D110" s="910">
        <v>4366098</v>
      </c>
      <c r="E110" s="910">
        <v>633902</v>
      </c>
      <c r="F110" s="910">
        <f t="shared" si="11"/>
        <v>5000</v>
      </c>
      <c r="G110" s="910">
        <f t="shared" si="12"/>
        <v>0</v>
      </c>
      <c r="H110" s="910">
        <f t="shared" si="13"/>
        <v>4366.098</v>
      </c>
      <c r="I110" s="910">
        <f t="shared" si="14"/>
        <v>633.90200000000004</v>
      </c>
      <c r="P110" s="544" t="s">
        <v>569</v>
      </c>
      <c r="Q110" s="545">
        <v>112000000</v>
      </c>
      <c r="R110" s="545">
        <v>10479968</v>
      </c>
      <c r="S110" s="545">
        <v>112000000</v>
      </c>
      <c r="T110" s="545">
        <v>0</v>
      </c>
      <c r="U110" s="545">
        <f t="shared" si="16"/>
        <v>112000</v>
      </c>
      <c r="V110" s="914">
        <f t="shared" si="17"/>
        <v>10479.968000000001</v>
      </c>
      <c r="W110" s="914">
        <f t="shared" si="18"/>
        <v>112000</v>
      </c>
      <c r="X110" s="914">
        <f t="shared" si="19"/>
        <v>0</v>
      </c>
    </row>
    <row r="111" spans="1:24" ht="13.5" x14ac:dyDescent="0.25">
      <c r="A111" s="910" t="s">
        <v>391</v>
      </c>
      <c r="B111" s="910">
        <v>5000000</v>
      </c>
      <c r="C111" s="910">
        <v>0</v>
      </c>
      <c r="D111" s="910">
        <v>4366098</v>
      </c>
      <c r="E111" s="910">
        <v>633902</v>
      </c>
      <c r="F111" s="910">
        <f t="shared" si="11"/>
        <v>5000</v>
      </c>
      <c r="G111" s="910">
        <f t="shared" si="12"/>
        <v>0</v>
      </c>
      <c r="H111" s="910">
        <f t="shared" si="13"/>
        <v>4366.098</v>
      </c>
      <c r="I111" s="910">
        <f t="shared" si="14"/>
        <v>633.90200000000004</v>
      </c>
      <c r="P111" s="544" t="s">
        <v>472</v>
      </c>
      <c r="Q111" s="545">
        <v>28824248</v>
      </c>
      <c r="R111" s="545">
        <v>2388858</v>
      </c>
      <c r="S111" s="545">
        <v>28666296</v>
      </c>
      <c r="T111" s="545">
        <v>157952</v>
      </c>
      <c r="U111" s="545">
        <f t="shared" si="16"/>
        <v>28824.248</v>
      </c>
      <c r="V111" s="914">
        <f t="shared" si="17"/>
        <v>2388.8580000000002</v>
      </c>
      <c r="W111" s="914">
        <f t="shared" si="18"/>
        <v>28666.295999999998</v>
      </c>
      <c r="X111" s="914">
        <f t="shared" si="19"/>
        <v>157.952</v>
      </c>
    </row>
    <row r="112" spans="1:24" ht="13.5" x14ac:dyDescent="0.25">
      <c r="A112" s="910" t="s">
        <v>571</v>
      </c>
      <c r="B112" s="910">
        <v>1263759788</v>
      </c>
      <c r="C112" s="910">
        <v>0</v>
      </c>
      <c r="D112" s="910">
        <v>390241708</v>
      </c>
      <c r="E112" s="910">
        <v>873518080</v>
      </c>
      <c r="F112" s="910">
        <f t="shared" si="11"/>
        <v>1263759.7879999999</v>
      </c>
      <c r="G112" s="910">
        <f t="shared" si="12"/>
        <v>0</v>
      </c>
      <c r="H112" s="910">
        <f t="shared" si="13"/>
        <v>390241.70799999998</v>
      </c>
      <c r="I112" s="910">
        <f t="shared" si="14"/>
        <v>873518.07999999996</v>
      </c>
      <c r="P112" s="544" t="s">
        <v>570</v>
      </c>
      <c r="Q112" s="545">
        <v>5000000</v>
      </c>
      <c r="R112" s="545">
        <v>0</v>
      </c>
      <c r="S112" s="545">
        <v>4366098</v>
      </c>
      <c r="T112" s="545">
        <v>633902</v>
      </c>
      <c r="U112" s="545">
        <f t="shared" si="16"/>
        <v>5000</v>
      </c>
      <c r="V112" s="914">
        <f t="shared" si="17"/>
        <v>0</v>
      </c>
      <c r="W112" s="914">
        <f t="shared" si="18"/>
        <v>4366.098</v>
      </c>
      <c r="X112" s="914">
        <f t="shared" si="19"/>
        <v>633.90200000000004</v>
      </c>
    </row>
    <row r="113" spans="1:24" ht="13.5" x14ac:dyDescent="0.25">
      <c r="A113" s="910" t="s">
        <v>392</v>
      </c>
      <c r="B113" s="910">
        <v>311405041</v>
      </c>
      <c r="C113" s="910">
        <v>0</v>
      </c>
      <c r="D113" s="910">
        <v>311405040</v>
      </c>
      <c r="E113" s="910">
        <v>1</v>
      </c>
      <c r="F113" s="910">
        <f t="shared" si="11"/>
        <v>311405.04100000003</v>
      </c>
      <c r="G113" s="910">
        <f t="shared" si="12"/>
        <v>0</v>
      </c>
      <c r="H113" s="910">
        <f t="shared" si="13"/>
        <v>311405.03999999998</v>
      </c>
      <c r="I113" s="910">
        <f t="shared" si="14"/>
        <v>1E-3</v>
      </c>
      <c r="P113" s="544" t="s">
        <v>391</v>
      </c>
      <c r="Q113" s="545">
        <v>5000000</v>
      </c>
      <c r="R113" s="545">
        <v>0</v>
      </c>
      <c r="S113" s="545">
        <v>4366098</v>
      </c>
      <c r="T113" s="545">
        <v>633902</v>
      </c>
      <c r="U113" s="545">
        <f t="shared" si="16"/>
        <v>5000</v>
      </c>
      <c r="V113" s="914">
        <f t="shared" si="17"/>
        <v>0</v>
      </c>
      <c r="W113" s="914">
        <f t="shared" si="18"/>
        <v>4366.098</v>
      </c>
      <c r="X113" s="914">
        <f t="shared" si="19"/>
        <v>633.90200000000004</v>
      </c>
    </row>
    <row r="114" spans="1:24" ht="13.5" x14ac:dyDescent="0.25">
      <c r="A114" s="910" t="s">
        <v>393</v>
      </c>
      <c r="B114" s="910">
        <v>48560000</v>
      </c>
      <c r="C114" s="910">
        <v>0</v>
      </c>
      <c r="D114" s="910">
        <v>0</v>
      </c>
      <c r="E114" s="910">
        <v>48560000</v>
      </c>
      <c r="F114" s="910">
        <f t="shared" si="11"/>
        <v>48560</v>
      </c>
      <c r="G114" s="910">
        <f t="shared" si="12"/>
        <v>0</v>
      </c>
      <c r="H114" s="910">
        <f t="shared" si="13"/>
        <v>0</v>
      </c>
      <c r="I114" s="910">
        <f t="shared" si="14"/>
        <v>48560</v>
      </c>
      <c r="P114" s="544" t="s">
        <v>571</v>
      </c>
      <c r="Q114" s="545">
        <v>1017333562</v>
      </c>
      <c r="R114" s="545">
        <v>1866674</v>
      </c>
      <c r="S114" s="545">
        <v>875155493</v>
      </c>
      <c r="T114" s="545">
        <v>142178069</v>
      </c>
      <c r="U114" s="545">
        <f t="shared" si="16"/>
        <v>1017333.562</v>
      </c>
      <c r="V114" s="914">
        <f t="shared" si="17"/>
        <v>1866.674</v>
      </c>
      <c r="W114" s="914">
        <f t="shared" si="18"/>
        <v>875155.49300000002</v>
      </c>
      <c r="X114" s="914">
        <f t="shared" si="19"/>
        <v>142178.06899999999</v>
      </c>
    </row>
    <row r="115" spans="1:24" ht="13.5" x14ac:dyDescent="0.25">
      <c r="A115" s="910" t="s">
        <v>394</v>
      </c>
      <c r="B115" s="910">
        <v>898671526</v>
      </c>
      <c r="C115" s="910">
        <v>0</v>
      </c>
      <c r="D115" s="910">
        <v>78836668</v>
      </c>
      <c r="E115" s="910">
        <v>819834858</v>
      </c>
      <c r="F115" s="910">
        <f t="shared" si="11"/>
        <v>898671.52599999995</v>
      </c>
      <c r="G115" s="910">
        <f t="shared" si="12"/>
        <v>0</v>
      </c>
      <c r="H115" s="910">
        <f t="shared" si="13"/>
        <v>78836.668000000005</v>
      </c>
      <c r="I115" s="910">
        <f t="shared" si="14"/>
        <v>819834.85800000001</v>
      </c>
      <c r="P115" s="544" t="s">
        <v>392</v>
      </c>
      <c r="Q115" s="545">
        <v>288105042</v>
      </c>
      <c r="R115" s="545">
        <v>0</v>
      </c>
      <c r="S115" s="545">
        <v>237405043</v>
      </c>
      <c r="T115" s="545">
        <v>50699999</v>
      </c>
      <c r="U115" s="545">
        <f t="shared" si="16"/>
        <v>288105.04200000002</v>
      </c>
      <c r="V115" s="914">
        <f t="shared" si="17"/>
        <v>0</v>
      </c>
      <c r="W115" s="914">
        <f t="shared" si="18"/>
        <v>237405.04300000001</v>
      </c>
      <c r="X115" s="914">
        <f t="shared" si="19"/>
        <v>50699.999000000003</v>
      </c>
    </row>
    <row r="116" spans="1:24" ht="13.5" x14ac:dyDescent="0.25">
      <c r="A116" s="910" t="s">
        <v>395</v>
      </c>
      <c r="B116" s="910">
        <v>5123221</v>
      </c>
      <c r="C116" s="910">
        <v>0</v>
      </c>
      <c r="D116" s="910">
        <v>0</v>
      </c>
      <c r="E116" s="910">
        <v>5123221</v>
      </c>
      <c r="F116" s="910">
        <f t="shared" si="11"/>
        <v>5123.2209999999995</v>
      </c>
      <c r="G116" s="910">
        <f t="shared" si="12"/>
        <v>0</v>
      </c>
      <c r="H116" s="910">
        <f t="shared" si="13"/>
        <v>0</v>
      </c>
      <c r="I116" s="910">
        <f t="shared" si="14"/>
        <v>5123.2209999999995</v>
      </c>
      <c r="P116" s="544" t="s">
        <v>393</v>
      </c>
      <c r="Q116" s="545">
        <v>48560000</v>
      </c>
      <c r="R116" s="545">
        <v>0</v>
      </c>
      <c r="S116" s="545">
        <v>0</v>
      </c>
      <c r="T116" s="545">
        <v>48560000</v>
      </c>
      <c r="U116" s="545">
        <f t="shared" si="16"/>
        <v>48560</v>
      </c>
      <c r="V116" s="914">
        <f t="shared" si="17"/>
        <v>0</v>
      </c>
      <c r="W116" s="914">
        <f t="shared" si="18"/>
        <v>0</v>
      </c>
      <c r="X116" s="914">
        <f t="shared" si="19"/>
        <v>48560</v>
      </c>
    </row>
    <row r="117" spans="1:24" ht="13.5" x14ac:dyDescent="0.25">
      <c r="A117" s="910" t="s">
        <v>572</v>
      </c>
      <c r="B117" s="910">
        <v>1700000</v>
      </c>
      <c r="C117" s="910">
        <v>0</v>
      </c>
      <c r="D117" s="910">
        <v>78669</v>
      </c>
      <c r="E117" s="910">
        <v>1621331</v>
      </c>
      <c r="F117" s="910">
        <f t="shared" si="11"/>
        <v>1700</v>
      </c>
      <c r="G117" s="910">
        <f t="shared" si="12"/>
        <v>0</v>
      </c>
      <c r="H117" s="910">
        <f t="shared" si="13"/>
        <v>78.668999999999997</v>
      </c>
      <c r="I117" s="910">
        <f t="shared" si="14"/>
        <v>1621.3309999999999</v>
      </c>
      <c r="P117" s="544" t="s">
        <v>394</v>
      </c>
      <c r="Q117" s="545">
        <v>678144432</v>
      </c>
      <c r="R117" s="545">
        <v>1866674</v>
      </c>
      <c r="S117" s="545">
        <v>637750450</v>
      </c>
      <c r="T117" s="545">
        <v>40393982</v>
      </c>
      <c r="U117" s="545">
        <f t="shared" si="16"/>
        <v>678144.43200000003</v>
      </c>
      <c r="V117" s="914">
        <f t="shared" si="17"/>
        <v>1866.674</v>
      </c>
      <c r="W117" s="914">
        <f t="shared" si="18"/>
        <v>637750.44999999995</v>
      </c>
      <c r="X117" s="914">
        <f t="shared" si="19"/>
        <v>40393.982000000004</v>
      </c>
    </row>
    <row r="118" spans="1:24" ht="13.5" x14ac:dyDescent="0.25">
      <c r="A118" s="910" t="s">
        <v>396</v>
      </c>
      <c r="B118" s="910">
        <v>1700000</v>
      </c>
      <c r="C118" s="910">
        <v>0</v>
      </c>
      <c r="D118" s="910">
        <v>78669</v>
      </c>
      <c r="E118" s="910">
        <v>1621331</v>
      </c>
      <c r="F118" s="910">
        <f t="shared" si="11"/>
        <v>1700</v>
      </c>
      <c r="G118" s="910">
        <f t="shared" si="12"/>
        <v>0</v>
      </c>
      <c r="H118" s="910">
        <f t="shared" si="13"/>
        <v>78.668999999999997</v>
      </c>
      <c r="I118" s="910">
        <f t="shared" si="14"/>
        <v>1621.3309999999999</v>
      </c>
      <c r="P118" s="544" t="s">
        <v>395</v>
      </c>
      <c r="Q118" s="545">
        <v>2524088</v>
      </c>
      <c r="R118" s="545">
        <v>0</v>
      </c>
      <c r="S118" s="545">
        <v>0</v>
      </c>
      <c r="T118" s="545">
        <v>2524088</v>
      </c>
      <c r="U118" s="545">
        <f t="shared" si="16"/>
        <v>2524.0880000000002</v>
      </c>
      <c r="V118" s="914">
        <f t="shared" si="17"/>
        <v>0</v>
      </c>
      <c r="W118" s="914">
        <f t="shared" si="18"/>
        <v>0</v>
      </c>
      <c r="X118" s="914">
        <f t="shared" si="19"/>
        <v>2524.0880000000002</v>
      </c>
    </row>
    <row r="119" spans="1:24" ht="13.5" x14ac:dyDescent="0.25">
      <c r="A119" s="910" t="s">
        <v>574</v>
      </c>
      <c r="B119" s="910">
        <v>10000</v>
      </c>
      <c r="C119" s="910">
        <v>0</v>
      </c>
      <c r="D119" s="910">
        <v>0</v>
      </c>
      <c r="E119" s="910">
        <v>10000</v>
      </c>
      <c r="F119" s="910">
        <f t="shared" si="11"/>
        <v>10</v>
      </c>
      <c r="G119" s="910">
        <f t="shared" si="12"/>
        <v>0</v>
      </c>
      <c r="H119" s="910">
        <f t="shared" si="13"/>
        <v>0</v>
      </c>
      <c r="I119" s="910">
        <f t="shared" si="14"/>
        <v>10</v>
      </c>
      <c r="P119" s="544" t="s">
        <v>572</v>
      </c>
      <c r="Q119" s="545">
        <v>3586768</v>
      </c>
      <c r="R119" s="545">
        <v>2244608</v>
      </c>
      <c r="S119" s="545">
        <v>2394768</v>
      </c>
      <c r="T119" s="545">
        <v>1192000</v>
      </c>
      <c r="U119" s="545">
        <f t="shared" si="16"/>
        <v>3586.768</v>
      </c>
      <c r="V119" s="914">
        <f t="shared" si="17"/>
        <v>2244.6080000000002</v>
      </c>
      <c r="W119" s="914">
        <f t="shared" si="18"/>
        <v>2394.768</v>
      </c>
      <c r="X119" s="914">
        <f t="shared" si="19"/>
        <v>1192</v>
      </c>
    </row>
    <row r="120" spans="1:24" ht="13.5" x14ac:dyDescent="0.25">
      <c r="A120" s="910" t="s">
        <v>575</v>
      </c>
      <c r="B120" s="910">
        <v>10000</v>
      </c>
      <c r="C120" s="910">
        <v>0</v>
      </c>
      <c r="D120" s="910">
        <v>0</v>
      </c>
      <c r="E120" s="910">
        <v>10000</v>
      </c>
      <c r="F120" s="910">
        <f t="shared" si="11"/>
        <v>10</v>
      </c>
      <c r="G120" s="910">
        <f t="shared" si="12"/>
        <v>0</v>
      </c>
      <c r="H120" s="910">
        <f t="shared" si="13"/>
        <v>0</v>
      </c>
      <c r="I120" s="910">
        <f t="shared" si="14"/>
        <v>10</v>
      </c>
      <c r="P120" s="544" t="s">
        <v>396</v>
      </c>
      <c r="Q120" s="545">
        <v>2186769</v>
      </c>
      <c r="R120" s="545">
        <v>844609</v>
      </c>
      <c r="S120" s="545">
        <v>994769</v>
      </c>
      <c r="T120" s="545">
        <v>1192000</v>
      </c>
      <c r="U120" s="545">
        <f t="shared" si="16"/>
        <v>2186.7689999999998</v>
      </c>
      <c r="V120" s="914">
        <f t="shared" si="17"/>
        <v>844.60900000000004</v>
      </c>
      <c r="W120" s="914">
        <f t="shared" si="18"/>
        <v>994.76900000000001</v>
      </c>
      <c r="X120" s="914">
        <f t="shared" si="19"/>
        <v>1192</v>
      </c>
    </row>
    <row r="121" spans="1:24" ht="13.5" x14ac:dyDescent="0.25">
      <c r="A121" s="910" t="s">
        <v>1014</v>
      </c>
      <c r="B121" s="910">
        <v>1000</v>
      </c>
      <c r="C121" s="910">
        <v>0</v>
      </c>
      <c r="D121" s="910">
        <v>0</v>
      </c>
      <c r="E121" s="910">
        <v>1000</v>
      </c>
      <c r="F121" s="910">
        <f t="shared" si="11"/>
        <v>1</v>
      </c>
      <c r="G121" s="910">
        <f t="shared" si="12"/>
        <v>0</v>
      </c>
      <c r="H121" s="910">
        <f t="shared" si="13"/>
        <v>0</v>
      </c>
      <c r="I121" s="910">
        <f t="shared" si="14"/>
        <v>1</v>
      </c>
      <c r="P121" s="544" t="s">
        <v>397</v>
      </c>
      <c r="Q121" s="545">
        <v>1399999</v>
      </c>
      <c r="R121" s="545">
        <v>1399999</v>
      </c>
      <c r="S121" s="545">
        <v>1399999</v>
      </c>
      <c r="T121" s="545">
        <v>0</v>
      </c>
      <c r="U121" s="545">
        <f t="shared" si="16"/>
        <v>1399.999</v>
      </c>
      <c r="V121" s="914">
        <f t="shared" si="17"/>
        <v>1399.999</v>
      </c>
      <c r="W121" s="914">
        <f t="shared" si="18"/>
        <v>1399.999</v>
      </c>
      <c r="X121" s="914">
        <f t="shared" si="19"/>
        <v>0</v>
      </c>
    </row>
    <row r="122" spans="1:24" ht="13.5" x14ac:dyDescent="0.25">
      <c r="A122" s="910" t="s">
        <v>576</v>
      </c>
      <c r="B122" s="910">
        <v>8000</v>
      </c>
      <c r="C122" s="910">
        <v>0</v>
      </c>
      <c r="D122" s="910">
        <v>0</v>
      </c>
      <c r="E122" s="910">
        <v>8000</v>
      </c>
      <c r="F122" s="910">
        <f t="shared" si="11"/>
        <v>8</v>
      </c>
      <c r="G122" s="910">
        <f t="shared" si="12"/>
        <v>0</v>
      </c>
      <c r="H122" s="910">
        <f t="shared" si="13"/>
        <v>0</v>
      </c>
      <c r="I122" s="910">
        <f t="shared" si="14"/>
        <v>8</v>
      </c>
      <c r="P122" s="544" t="s">
        <v>574</v>
      </c>
      <c r="Q122" s="545">
        <v>10000</v>
      </c>
      <c r="R122" s="545">
        <v>0</v>
      </c>
      <c r="S122" s="545">
        <v>0</v>
      </c>
      <c r="T122" s="545">
        <v>10000</v>
      </c>
      <c r="U122" s="545">
        <f t="shared" si="16"/>
        <v>10</v>
      </c>
      <c r="V122" s="914">
        <f t="shared" si="17"/>
        <v>0</v>
      </c>
      <c r="W122" s="914">
        <f t="shared" si="18"/>
        <v>0</v>
      </c>
      <c r="X122" s="914">
        <f t="shared" si="19"/>
        <v>10</v>
      </c>
    </row>
    <row r="123" spans="1:24" ht="13.5" x14ac:dyDescent="0.25">
      <c r="A123" s="910" t="s">
        <v>953</v>
      </c>
      <c r="B123" s="910">
        <v>1000</v>
      </c>
      <c r="C123" s="910">
        <v>0</v>
      </c>
      <c r="D123" s="910">
        <v>0</v>
      </c>
      <c r="E123" s="910">
        <v>1000</v>
      </c>
      <c r="F123" s="910">
        <f t="shared" si="11"/>
        <v>1</v>
      </c>
      <c r="G123" s="910">
        <f t="shared" si="12"/>
        <v>0</v>
      </c>
      <c r="H123" s="910">
        <f t="shared" si="13"/>
        <v>0</v>
      </c>
      <c r="I123" s="910">
        <f t="shared" si="14"/>
        <v>1</v>
      </c>
      <c r="P123" s="544" t="s">
        <v>575</v>
      </c>
      <c r="Q123" s="545">
        <v>10000</v>
      </c>
      <c r="R123" s="545">
        <v>0</v>
      </c>
      <c r="S123" s="545">
        <v>0</v>
      </c>
      <c r="T123" s="545">
        <v>10000</v>
      </c>
      <c r="U123" s="545">
        <f t="shared" si="16"/>
        <v>10</v>
      </c>
      <c r="V123" s="914">
        <f t="shared" si="17"/>
        <v>0</v>
      </c>
      <c r="W123" s="914">
        <f t="shared" si="18"/>
        <v>0</v>
      </c>
      <c r="X123" s="914">
        <f t="shared" si="19"/>
        <v>10</v>
      </c>
    </row>
    <row r="124" spans="1:24" ht="13.5" x14ac:dyDescent="0.25">
      <c r="A124" s="910" t="s">
        <v>398</v>
      </c>
      <c r="B124" s="910">
        <v>82773000</v>
      </c>
      <c r="C124" s="910">
        <v>7213296</v>
      </c>
      <c r="D124" s="910">
        <v>81409552</v>
      </c>
      <c r="E124" s="910">
        <v>1363448</v>
      </c>
      <c r="F124" s="910">
        <f t="shared" si="11"/>
        <v>82773</v>
      </c>
      <c r="G124" s="910">
        <f t="shared" si="12"/>
        <v>7213.2960000000003</v>
      </c>
      <c r="H124" s="910">
        <f t="shared" si="13"/>
        <v>81409.551999999996</v>
      </c>
      <c r="I124" s="910">
        <f t="shared" si="14"/>
        <v>1363.4480000000001</v>
      </c>
      <c r="P124" s="544" t="s">
        <v>1014</v>
      </c>
      <c r="Q124" s="545">
        <v>1000</v>
      </c>
      <c r="R124" s="545">
        <v>0</v>
      </c>
      <c r="S124" s="545">
        <v>0</v>
      </c>
      <c r="T124" s="545">
        <v>1000</v>
      </c>
      <c r="U124" s="545">
        <f t="shared" si="16"/>
        <v>1</v>
      </c>
      <c r="V124" s="914">
        <f t="shared" si="17"/>
        <v>0</v>
      </c>
      <c r="W124" s="914">
        <f t="shared" si="18"/>
        <v>0</v>
      </c>
      <c r="X124" s="914">
        <f t="shared" si="19"/>
        <v>1</v>
      </c>
    </row>
    <row r="125" spans="1:24" ht="13.5" x14ac:dyDescent="0.25">
      <c r="A125" s="910" t="s">
        <v>399</v>
      </c>
      <c r="B125" s="910">
        <v>10000</v>
      </c>
      <c r="C125" s="910">
        <v>0</v>
      </c>
      <c r="D125" s="910">
        <v>0</v>
      </c>
      <c r="E125" s="910">
        <v>10000</v>
      </c>
      <c r="F125" s="910">
        <f t="shared" si="11"/>
        <v>10</v>
      </c>
      <c r="G125" s="910">
        <f t="shared" si="12"/>
        <v>0</v>
      </c>
      <c r="H125" s="910">
        <f t="shared" si="13"/>
        <v>0</v>
      </c>
      <c r="I125" s="910">
        <f t="shared" si="14"/>
        <v>10</v>
      </c>
      <c r="P125" s="544" t="s">
        <v>576</v>
      </c>
      <c r="Q125" s="545">
        <v>8000</v>
      </c>
      <c r="R125" s="545">
        <v>0</v>
      </c>
      <c r="S125" s="545">
        <v>0</v>
      </c>
      <c r="T125" s="545">
        <v>8000</v>
      </c>
      <c r="U125" s="545">
        <f t="shared" si="16"/>
        <v>8</v>
      </c>
      <c r="V125" s="914">
        <f t="shared" si="17"/>
        <v>0</v>
      </c>
      <c r="W125" s="914">
        <f t="shared" si="18"/>
        <v>0</v>
      </c>
      <c r="X125" s="914">
        <f t="shared" si="19"/>
        <v>8</v>
      </c>
    </row>
    <row r="126" spans="1:24" ht="13.5" x14ac:dyDescent="0.25">
      <c r="A126" s="910" t="s">
        <v>577</v>
      </c>
      <c r="B126" s="910">
        <v>10000</v>
      </c>
      <c r="C126" s="910">
        <v>0</v>
      </c>
      <c r="D126" s="910">
        <v>0</v>
      </c>
      <c r="E126" s="910">
        <v>10000</v>
      </c>
      <c r="F126" s="910">
        <f t="shared" si="11"/>
        <v>10</v>
      </c>
      <c r="G126" s="910">
        <f t="shared" si="12"/>
        <v>0</v>
      </c>
      <c r="H126" s="910">
        <f t="shared" si="13"/>
        <v>0</v>
      </c>
      <c r="I126" s="910">
        <f t="shared" si="14"/>
        <v>10</v>
      </c>
      <c r="P126" s="544" t="s">
        <v>953</v>
      </c>
      <c r="Q126" s="545">
        <v>1000</v>
      </c>
      <c r="R126" s="545">
        <v>0</v>
      </c>
      <c r="S126" s="545">
        <v>0</v>
      </c>
      <c r="T126" s="545">
        <v>1000</v>
      </c>
      <c r="U126" s="545">
        <f t="shared" si="16"/>
        <v>1</v>
      </c>
      <c r="V126" s="914">
        <f t="shared" si="17"/>
        <v>0</v>
      </c>
      <c r="W126" s="914">
        <f t="shared" si="18"/>
        <v>0</v>
      </c>
      <c r="X126" s="914">
        <f t="shared" si="19"/>
        <v>1</v>
      </c>
    </row>
    <row r="127" spans="1:24" ht="13.5" x14ac:dyDescent="0.25">
      <c r="A127" s="910" t="s">
        <v>1015</v>
      </c>
      <c r="B127" s="910">
        <v>82763000</v>
      </c>
      <c r="C127" s="910">
        <v>7213296</v>
      </c>
      <c r="D127" s="910">
        <v>81409552</v>
      </c>
      <c r="E127" s="910">
        <v>1353448</v>
      </c>
      <c r="F127" s="910">
        <f t="shared" si="11"/>
        <v>82763</v>
      </c>
      <c r="G127" s="910">
        <f t="shared" si="12"/>
        <v>7213.2960000000003</v>
      </c>
      <c r="H127" s="910">
        <f t="shared" si="13"/>
        <v>81409.551999999996</v>
      </c>
      <c r="I127" s="910">
        <f t="shared" si="14"/>
        <v>1353.4480000000001</v>
      </c>
      <c r="P127" s="544" t="s">
        <v>398</v>
      </c>
      <c r="Q127" s="545">
        <v>82773000</v>
      </c>
      <c r="R127" s="545">
        <v>14426592</v>
      </c>
      <c r="S127" s="545">
        <v>81409552</v>
      </c>
      <c r="T127" s="545">
        <v>1363448</v>
      </c>
      <c r="U127" s="545">
        <f t="shared" si="16"/>
        <v>82773</v>
      </c>
      <c r="V127" s="914">
        <f t="shared" si="17"/>
        <v>14426.592000000001</v>
      </c>
      <c r="W127" s="914">
        <f t="shared" si="18"/>
        <v>81409.551999999996</v>
      </c>
      <c r="X127" s="914">
        <f t="shared" si="19"/>
        <v>1363.4480000000001</v>
      </c>
    </row>
    <row r="128" spans="1:24" ht="13.5" x14ac:dyDescent="0.25">
      <c r="A128" s="910" t="s">
        <v>1016</v>
      </c>
      <c r="B128" s="910">
        <v>82763000</v>
      </c>
      <c r="C128" s="910">
        <v>7213296</v>
      </c>
      <c r="D128" s="910">
        <v>81409552</v>
      </c>
      <c r="E128" s="910">
        <v>1353448</v>
      </c>
      <c r="F128" s="910">
        <f t="shared" si="11"/>
        <v>82763</v>
      </c>
      <c r="G128" s="910">
        <f t="shared" si="12"/>
        <v>7213.2960000000003</v>
      </c>
      <c r="H128" s="910">
        <f t="shared" si="13"/>
        <v>81409.551999999996</v>
      </c>
      <c r="I128" s="910">
        <f t="shared" si="14"/>
        <v>1353.4480000000001</v>
      </c>
      <c r="P128" s="544" t="s">
        <v>399</v>
      </c>
      <c r="Q128" s="545">
        <v>10000</v>
      </c>
      <c r="R128" s="545">
        <v>0</v>
      </c>
      <c r="S128" s="545">
        <v>0</v>
      </c>
      <c r="T128" s="545">
        <v>10000</v>
      </c>
      <c r="U128" s="545">
        <f t="shared" si="16"/>
        <v>10</v>
      </c>
      <c r="V128" s="914">
        <f t="shared" si="17"/>
        <v>0</v>
      </c>
      <c r="W128" s="914">
        <f t="shared" si="18"/>
        <v>0</v>
      </c>
      <c r="X128" s="914">
        <f t="shared" si="19"/>
        <v>10</v>
      </c>
    </row>
    <row r="129" spans="1:24" ht="13.5" x14ac:dyDescent="0.25">
      <c r="A129" s="910" t="s">
        <v>597</v>
      </c>
      <c r="B129" s="910">
        <v>178378000</v>
      </c>
      <c r="C129" s="910">
        <v>0</v>
      </c>
      <c r="D129" s="910">
        <v>1</v>
      </c>
      <c r="E129" s="910">
        <v>178377999</v>
      </c>
      <c r="F129" s="910">
        <f t="shared" si="11"/>
        <v>178378</v>
      </c>
      <c r="G129" s="910">
        <f t="shared" si="12"/>
        <v>0</v>
      </c>
      <c r="H129" s="910">
        <f t="shared" si="13"/>
        <v>1E-3</v>
      </c>
      <c r="I129" s="910">
        <f t="shared" si="14"/>
        <v>178377.99900000001</v>
      </c>
      <c r="P129" s="544" t="s">
        <v>577</v>
      </c>
      <c r="Q129" s="545">
        <v>10000</v>
      </c>
      <c r="R129" s="545">
        <v>0</v>
      </c>
      <c r="S129" s="545">
        <v>0</v>
      </c>
      <c r="T129" s="545">
        <v>10000</v>
      </c>
      <c r="U129" s="545">
        <f t="shared" si="16"/>
        <v>10</v>
      </c>
      <c r="V129" s="914">
        <f t="shared" si="17"/>
        <v>0</v>
      </c>
      <c r="W129" s="914">
        <f t="shared" si="18"/>
        <v>0</v>
      </c>
      <c r="X129" s="914">
        <f t="shared" si="19"/>
        <v>10</v>
      </c>
    </row>
    <row r="130" spans="1:24" ht="13.5" x14ac:dyDescent="0.25">
      <c r="A130" s="910" t="s">
        <v>598</v>
      </c>
      <c r="B130" s="910">
        <v>178378000</v>
      </c>
      <c r="C130" s="910">
        <v>0</v>
      </c>
      <c r="D130" s="910">
        <v>1</v>
      </c>
      <c r="E130" s="910">
        <v>178377999</v>
      </c>
      <c r="F130" s="910">
        <f t="shared" si="11"/>
        <v>178378</v>
      </c>
      <c r="G130" s="910">
        <f t="shared" si="12"/>
        <v>0</v>
      </c>
      <c r="H130" s="910">
        <f t="shared" si="13"/>
        <v>1E-3</v>
      </c>
      <c r="I130" s="910">
        <f t="shared" si="14"/>
        <v>178377.99900000001</v>
      </c>
      <c r="P130" s="544" t="s">
        <v>1015</v>
      </c>
      <c r="Q130" s="545">
        <v>82763000</v>
      </c>
      <c r="R130" s="545">
        <v>14426592</v>
      </c>
      <c r="S130" s="545">
        <v>81409552</v>
      </c>
      <c r="T130" s="545">
        <v>1353448</v>
      </c>
      <c r="U130" s="545">
        <f t="shared" si="16"/>
        <v>82763</v>
      </c>
      <c r="V130" s="914">
        <f t="shared" si="17"/>
        <v>14426.592000000001</v>
      </c>
      <c r="W130" s="914">
        <f t="shared" si="18"/>
        <v>81409.551999999996</v>
      </c>
      <c r="X130" s="914">
        <f t="shared" si="19"/>
        <v>1353.4480000000001</v>
      </c>
    </row>
    <row r="131" spans="1:24" ht="13.5" x14ac:dyDescent="0.25">
      <c r="A131" s="910" t="s">
        <v>852</v>
      </c>
      <c r="B131" s="910">
        <v>178374000</v>
      </c>
      <c r="C131" s="910">
        <v>0</v>
      </c>
      <c r="D131" s="910">
        <v>1</v>
      </c>
      <c r="E131" s="910">
        <v>178373999</v>
      </c>
      <c r="F131" s="910">
        <f t="shared" si="11"/>
        <v>178374</v>
      </c>
      <c r="G131" s="910">
        <f t="shared" si="12"/>
        <v>0</v>
      </c>
      <c r="H131" s="910">
        <f t="shared" si="13"/>
        <v>1E-3</v>
      </c>
      <c r="I131" s="910">
        <f t="shared" si="14"/>
        <v>178373.99900000001</v>
      </c>
      <c r="P131" s="544" t="s">
        <v>1016</v>
      </c>
      <c r="Q131" s="545">
        <v>82763000</v>
      </c>
      <c r="R131" s="545">
        <v>14426592</v>
      </c>
      <c r="S131" s="545">
        <v>81409552</v>
      </c>
      <c r="T131" s="545">
        <v>1353448</v>
      </c>
      <c r="U131" s="545">
        <f t="shared" si="16"/>
        <v>82763</v>
      </c>
      <c r="V131" s="914">
        <f t="shared" si="17"/>
        <v>14426.592000000001</v>
      </c>
      <c r="W131" s="914">
        <f t="shared" si="18"/>
        <v>81409.551999999996</v>
      </c>
      <c r="X131" s="914">
        <f t="shared" si="19"/>
        <v>1353.4480000000001</v>
      </c>
    </row>
    <row r="132" spans="1:24" ht="13.5" x14ac:dyDescent="0.25">
      <c r="A132" s="910" t="s">
        <v>984</v>
      </c>
      <c r="B132" s="910">
        <v>1000</v>
      </c>
      <c r="C132" s="910">
        <v>0</v>
      </c>
      <c r="D132" s="910">
        <v>0</v>
      </c>
      <c r="E132" s="910">
        <v>1000</v>
      </c>
      <c r="F132" s="910">
        <f t="shared" ref="F132:F144" si="20">+B132/$H$1*$I$1</f>
        <v>1</v>
      </c>
      <c r="G132" s="910">
        <f t="shared" ref="G132:G144" si="21">+C132/$H$1*$I$1</f>
        <v>0</v>
      </c>
      <c r="H132" s="910">
        <f t="shared" ref="H132:H144" si="22">+D132/$H$1*$I$1</f>
        <v>0</v>
      </c>
      <c r="I132" s="910">
        <f t="shared" ref="I132:I144" si="23">+E132/$H$1*$I$1</f>
        <v>1</v>
      </c>
      <c r="P132" s="544" t="s">
        <v>597</v>
      </c>
      <c r="Q132" s="545">
        <v>178378000</v>
      </c>
      <c r="R132" s="545">
        <v>56827653</v>
      </c>
      <c r="S132" s="545">
        <v>56827654</v>
      </c>
      <c r="T132" s="545">
        <v>121550346</v>
      </c>
      <c r="U132" s="545">
        <f t="shared" ref="U132:U147" si="24">+Q132/$W$1*$X$1</f>
        <v>178378</v>
      </c>
      <c r="V132" s="914">
        <f t="shared" ref="V132:V147" si="25">+R132/$W$1*$X$1</f>
        <v>56827.652999999998</v>
      </c>
      <c r="W132" s="914">
        <f t="shared" ref="W132:W147" si="26">+S132/$W$1*$X$1</f>
        <v>56827.654000000002</v>
      </c>
      <c r="X132" s="914">
        <f t="shared" ref="X132:X147" si="27">+T132/$W$1*$X$1</f>
        <v>121550.34600000001</v>
      </c>
    </row>
    <row r="133" spans="1:24" ht="13.5" x14ac:dyDescent="0.25">
      <c r="A133" s="910" t="s">
        <v>857</v>
      </c>
      <c r="B133" s="910">
        <v>1000</v>
      </c>
      <c r="C133" s="910">
        <v>0</v>
      </c>
      <c r="D133" s="910">
        <v>0</v>
      </c>
      <c r="E133" s="910">
        <v>1000</v>
      </c>
      <c r="F133" s="910">
        <f t="shared" si="20"/>
        <v>1</v>
      </c>
      <c r="G133" s="910">
        <f t="shared" si="21"/>
        <v>0</v>
      </c>
      <c r="H133" s="910">
        <f t="shared" si="22"/>
        <v>0</v>
      </c>
      <c r="I133" s="910">
        <f t="shared" si="23"/>
        <v>1</v>
      </c>
      <c r="P133" s="544" t="s">
        <v>598</v>
      </c>
      <c r="Q133" s="545">
        <v>178378000</v>
      </c>
      <c r="R133" s="545">
        <v>56827653</v>
      </c>
      <c r="S133" s="545">
        <v>56827654</v>
      </c>
      <c r="T133" s="545">
        <v>121550346</v>
      </c>
      <c r="U133" s="545">
        <f t="shared" si="24"/>
        <v>178378</v>
      </c>
      <c r="V133" s="914">
        <f t="shared" si="25"/>
        <v>56827.652999999998</v>
      </c>
      <c r="W133" s="914">
        <f t="shared" si="26"/>
        <v>56827.654000000002</v>
      </c>
      <c r="X133" s="914">
        <f t="shared" si="27"/>
        <v>121550.34600000001</v>
      </c>
    </row>
    <row r="134" spans="1:24" ht="13.5" x14ac:dyDescent="0.25">
      <c r="A134" s="910" t="s">
        <v>858</v>
      </c>
      <c r="B134" s="910">
        <v>1000</v>
      </c>
      <c r="C134" s="910">
        <v>0</v>
      </c>
      <c r="D134" s="910">
        <v>0</v>
      </c>
      <c r="E134" s="910">
        <v>1000</v>
      </c>
      <c r="F134" s="910">
        <f t="shared" si="20"/>
        <v>1</v>
      </c>
      <c r="G134" s="910">
        <f t="shared" si="21"/>
        <v>0</v>
      </c>
      <c r="H134" s="910">
        <f t="shared" si="22"/>
        <v>0</v>
      </c>
      <c r="I134" s="910">
        <f t="shared" si="23"/>
        <v>1</v>
      </c>
      <c r="P134" s="544" t="s">
        <v>852</v>
      </c>
      <c r="Q134" s="545">
        <v>178374000</v>
      </c>
      <c r="R134" s="545">
        <v>56827653</v>
      </c>
      <c r="S134" s="545">
        <v>56827654</v>
      </c>
      <c r="T134" s="545">
        <v>121546346</v>
      </c>
      <c r="U134" s="545">
        <f t="shared" si="24"/>
        <v>178374</v>
      </c>
      <c r="V134" s="914">
        <f t="shared" si="25"/>
        <v>56827.652999999998</v>
      </c>
      <c r="W134" s="914">
        <f t="shared" si="26"/>
        <v>56827.654000000002</v>
      </c>
      <c r="X134" s="914">
        <f t="shared" si="27"/>
        <v>121546.34600000001</v>
      </c>
    </row>
    <row r="135" spans="1:24" ht="13.5" x14ac:dyDescent="0.25">
      <c r="A135" s="910" t="s">
        <v>859</v>
      </c>
      <c r="B135" s="910">
        <v>1000</v>
      </c>
      <c r="C135" s="910">
        <v>0</v>
      </c>
      <c r="D135" s="910">
        <v>0</v>
      </c>
      <c r="E135" s="910">
        <v>1000</v>
      </c>
      <c r="F135" s="910">
        <f t="shared" si="20"/>
        <v>1</v>
      </c>
      <c r="G135" s="910">
        <f t="shared" si="21"/>
        <v>0</v>
      </c>
      <c r="H135" s="910">
        <f t="shared" si="22"/>
        <v>0</v>
      </c>
      <c r="I135" s="910">
        <f t="shared" si="23"/>
        <v>1</v>
      </c>
      <c r="P135" s="544" t="s">
        <v>984</v>
      </c>
      <c r="Q135" s="545">
        <v>1000</v>
      </c>
      <c r="R135" s="545">
        <v>0</v>
      </c>
      <c r="S135" s="545">
        <v>0</v>
      </c>
      <c r="T135" s="545">
        <v>1000</v>
      </c>
      <c r="U135" s="545">
        <f t="shared" si="24"/>
        <v>1</v>
      </c>
      <c r="V135" s="914">
        <f t="shared" si="25"/>
        <v>0</v>
      </c>
      <c r="W135" s="914">
        <f t="shared" si="26"/>
        <v>0</v>
      </c>
      <c r="X135" s="914">
        <f t="shared" si="27"/>
        <v>1</v>
      </c>
    </row>
    <row r="136" spans="1:24" ht="13.5" x14ac:dyDescent="0.25">
      <c r="A136" s="910" t="s">
        <v>580</v>
      </c>
      <c r="B136" s="910">
        <v>227178000</v>
      </c>
      <c r="C136" s="910">
        <v>0</v>
      </c>
      <c r="D136" s="910">
        <v>25191001</v>
      </c>
      <c r="E136" s="910">
        <v>201986999</v>
      </c>
      <c r="F136" s="910">
        <f t="shared" si="20"/>
        <v>227178</v>
      </c>
      <c r="G136" s="910">
        <f t="shared" si="21"/>
        <v>0</v>
      </c>
      <c r="H136" s="910">
        <f t="shared" si="22"/>
        <v>25191.001</v>
      </c>
      <c r="I136" s="910">
        <f t="shared" si="23"/>
        <v>201986.99900000001</v>
      </c>
      <c r="P136" s="544" t="s">
        <v>857</v>
      </c>
      <c r="Q136" s="545">
        <v>1000</v>
      </c>
      <c r="R136" s="545">
        <v>0</v>
      </c>
      <c r="S136" s="545">
        <v>0</v>
      </c>
      <c r="T136" s="545">
        <v>1000</v>
      </c>
      <c r="U136" s="545">
        <f t="shared" si="24"/>
        <v>1</v>
      </c>
      <c r="V136" s="914">
        <f t="shared" si="25"/>
        <v>0</v>
      </c>
      <c r="W136" s="914">
        <f t="shared" si="26"/>
        <v>0</v>
      </c>
      <c r="X136" s="914">
        <f t="shared" si="27"/>
        <v>1</v>
      </c>
    </row>
    <row r="137" spans="1:24" ht="13.5" x14ac:dyDescent="0.25">
      <c r="A137" s="910" t="s">
        <v>774</v>
      </c>
      <c r="B137" s="910">
        <v>26050000</v>
      </c>
      <c r="C137" s="910">
        <v>0</v>
      </c>
      <c r="D137" s="910">
        <v>25191001</v>
      </c>
      <c r="E137" s="910">
        <v>858999</v>
      </c>
      <c r="F137" s="910">
        <f t="shared" si="20"/>
        <v>26050</v>
      </c>
      <c r="G137" s="910">
        <f t="shared" si="21"/>
        <v>0</v>
      </c>
      <c r="H137" s="910">
        <f t="shared" si="22"/>
        <v>25191.001</v>
      </c>
      <c r="I137" s="910">
        <f t="shared" si="23"/>
        <v>858.99900000000002</v>
      </c>
      <c r="P137" s="544" t="s">
        <v>858</v>
      </c>
      <c r="Q137" s="545">
        <v>1000</v>
      </c>
      <c r="R137" s="545">
        <v>0</v>
      </c>
      <c r="S137" s="545">
        <v>0</v>
      </c>
      <c r="T137" s="545">
        <v>1000</v>
      </c>
      <c r="U137" s="545">
        <f t="shared" si="24"/>
        <v>1</v>
      </c>
      <c r="V137" s="914">
        <f t="shared" si="25"/>
        <v>0</v>
      </c>
      <c r="W137" s="914">
        <f t="shared" si="26"/>
        <v>0</v>
      </c>
      <c r="X137" s="914">
        <f t="shared" si="27"/>
        <v>1</v>
      </c>
    </row>
    <row r="138" spans="1:24" ht="13.5" x14ac:dyDescent="0.25">
      <c r="A138" s="910" t="s">
        <v>401</v>
      </c>
      <c r="B138" s="910">
        <v>201128000</v>
      </c>
      <c r="C138" s="910">
        <v>0</v>
      </c>
      <c r="D138" s="910">
        <v>0</v>
      </c>
      <c r="E138" s="910">
        <v>201128000</v>
      </c>
      <c r="F138" s="910">
        <f t="shared" si="20"/>
        <v>201128</v>
      </c>
      <c r="G138" s="910">
        <f t="shared" si="21"/>
        <v>0</v>
      </c>
      <c r="H138" s="910">
        <f t="shared" si="22"/>
        <v>0</v>
      </c>
      <c r="I138" s="910">
        <f t="shared" si="23"/>
        <v>201128</v>
      </c>
      <c r="P138" s="544" t="s">
        <v>859</v>
      </c>
      <c r="Q138" s="545">
        <v>1000</v>
      </c>
      <c r="R138" s="545">
        <v>0</v>
      </c>
      <c r="S138" s="545">
        <v>0</v>
      </c>
      <c r="T138" s="545">
        <v>1000</v>
      </c>
      <c r="U138" s="545">
        <f t="shared" si="24"/>
        <v>1</v>
      </c>
      <c r="V138" s="914">
        <f t="shared" si="25"/>
        <v>0</v>
      </c>
      <c r="W138" s="914">
        <f t="shared" si="26"/>
        <v>0</v>
      </c>
      <c r="X138" s="914">
        <f t="shared" si="27"/>
        <v>1</v>
      </c>
    </row>
    <row r="139" spans="1:24" ht="13.5" x14ac:dyDescent="0.25">
      <c r="A139" s="910" t="s">
        <v>582</v>
      </c>
      <c r="B139" s="910">
        <v>201128000</v>
      </c>
      <c r="C139" s="910">
        <v>0</v>
      </c>
      <c r="D139" s="910">
        <v>0</v>
      </c>
      <c r="E139" s="910">
        <v>201128000</v>
      </c>
      <c r="F139" s="910">
        <f t="shared" si="20"/>
        <v>201128</v>
      </c>
      <c r="G139" s="910">
        <f t="shared" si="21"/>
        <v>0</v>
      </c>
      <c r="H139" s="910">
        <f t="shared" si="22"/>
        <v>0</v>
      </c>
      <c r="I139" s="910">
        <f t="shared" si="23"/>
        <v>201128</v>
      </c>
      <c r="P139" s="544" t="s">
        <v>580</v>
      </c>
      <c r="Q139" s="545">
        <v>227178000</v>
      </c>
      <c r="R139" s="545">
        <v>25191001</v>
      </c>
      <c r="S139" s="545">
        <v>25191001</v>
      </c>
      <c r="T139" s="545">
        <v>201986999</v>
      </c>
      <c r="U139" s="545">
        <f t="shared" si="24"/>
        <v>227178</v>
      </c>
      <c r="V139" s="914">
        <f t="shared" si="25"/>
        <v>25191.001</v>
      </c>
      <c r="W139" s="914">
        <f t="shared" si="26"/>
        <v>25191.001</v>
      </c>
      <c r="X139" s="914">
        <f t="shared" si="27"/>
        <v>201986.99900000001</v>
      </c>
    </row>
    <row r="140" spans="1:24" ht="13.5" x14ac:dyDescent="0.25">
      <c r="A140" s="910" t="s">
        <v>402</v>
      </c>
      <c r="B140" s="910">
        <v>16451809100</v>
      </c>
      <c r="C140" s="910">
        <v>2705198244</v>
      </c>
      <c r="D140" s="910">
        <v>2705198244</v>
      </c>
      <c r="E140" s="910">
        <v>13746610856</v>
      </c>
      <c r="F140" s="910">
        <f t="shared" si="20"/>
        <v>16451809.1</v>
      </c>
      <c r="G140" s="910">
        <f t="shared" si="21"/>
        <v>2705198.2439999999</v>
      </c>
      <c r="H140" s="910">
        <f t="shared" si="22"/>
        <v>2705198.2439999999</v>
      </c>
      <c r="I140" s="910">
        <f t="shared" si="23"/>
        <v>13746610.856000001</v>
      </c>
      <c r="P140" s="544" t="s">
        <v>774</v>
      </c>
      <c r="Q140" s="545">
        <v>26050000</v>
      </c>
      <c r="R140" s="545">
        <v>25191001</v>
      </c>
      <c r="S140" s="545">
        <v>25191001</v>
      </c>
      <c r="T140" s="545">
        <v>858999</v>
      </c>
      <c r="U140" s="545">
        <f t="shared" si="24"/>
        <v>26050</v>
      </c>
      <c r="V140" s="914">
        <f t="shared" si="25"/>
        <v>25191.001</v>
      </c>
      <c r="W140" s="914">
        <f t="shared" si="26"/>
        <v>25191.001</v>
      </c>
      <c r="X140" s="914">
        <f t="shared" si="27"/>
        <v>858.99900000000002</v>
      </c>
    </row>
    <row r="141" spans="1:24" ht="13.5" x14ac:dyDescent="0.25">
      <c r="A141" s="910" t="s">
        <v>403</v>
      </c>
      <c r="B141" s="910">
        <v>13716466000</v>
      </c>
      <c r="C141" s="910">
        <v>0</v>
      </c>
      <c r="D141" s="910">
        <v>0</v>
      </c>
      <c r="E141" s="910">
        <v>13716466000</v>
      </c>
      <c r="F141" s="910">
        <f t="shared" si="20"/>
        <v>13716466</v>
      </c>
      <c r="G141" s="910">
        <f t="shared" si="21"/>
        <v>0</v>
      </c>
      <c r="H141" s="910">
        <f t="shared" si="22"/>
        <v>0</v>
      </c>
      <c r="I141" s="910">
        <f t="shared" si="23"/>
        <v>13716466</v>
      </c>
      <c r="P141" s="544" t="s">
        <v>401</v>
      </c>
      <c r="Q141" s="545">
        <v>201128000</v>
      </c>
      <c r="R141" s="545">
        <v>0</v>
      </c>
      <c r="S141" s="545">
        <v>0</v>
      </c>
      <c r="T141" s="545">
        <v>201128000</v>
      </c>
      <c r="U141" s="545">
        <f t="shared" si="24"/>
        <v>201128</v>
      </c>
      <c r="V141" s="914">
        <f t="shared" si="25"/>
        <v>0</v>
      </c>
      <c r="W141" s="914">
        <f t="shared" si="26"/>
        <v>0</v>
      </c>
      <c r="X141" s="914">
        <f t="shared" si="27"/>
        <v>201128</v>
      </c>
    </row>
    <row r="142" spans="1:24" ht="13.5" x14ac:dyDescent="0.25">
      <c r="A142" s="910" t="s">
        <v>405</v>
      </c>
      <c r="B142" s="910">
        <v>2528207000</v>
      </c>
      <c r="C142" s="910">
        <v>1012265476</v>
      </c>
      <c r="D142" s="910">
        <v>1012265476</v>
      </c>
      <c r="E142" s="910">
        <v>1515941524</v>
      </c>
      <c r="F142" s="910">
        <f t="shared" si="20"/>
        <v>2528207</v>
      </c>
      <c r="G142" s="910">
        <f t="shared" si="21"/>
        <v>1012265.476</v>
      </c>
      <c r="H142" s="910">
        <f t="shared" si="22"/>
        <v>1012265.476</v>
      </c>
      <c r="I142" s="910">
        <f t="shared" si="23"/>
        <v>1515941.524</v>
      </c>
      <c r="P142" s="544" t="s">
        <v>582</v>
      </c>
      <c r="Q142" s="545">
        <v>201128000</v>
      </c>
      <c r="R142" s="545">
        <v>0</v>
      </c>
      <c r="S142" s="545">
        <v>0</v>
      </c>
      <c r="T142" s="545">
        <v>201128000</v>
      </c>
      <c r="U142" s="545">
        <f t="shared" si="24"/>
        <v>201128</v>
      </c>
      <c r="V142" s="914">
        <f t="shared" si="25"/>
        <v>0</v>
      </c>
      <c r="W142" s="914">
        <f t="shared" si="26"/>
        <v>0</v>
      </c>
      <c r="X142" s="914">
        <f t="shared" si="27"/>
        <v>201128</v>
      </c>
    </row>
    <row r="143" spans="1:24" ht="13.5" x14ac:dyDescent="0.25">
      <c r="A143" s="910" t="s">
        <v>964</v>
      </c>
      <c r="B143" s="910">
        <v>207126000</v>
      </c>
      <c r="C143" s="910">
        <v>0</v>
      </c>
      <c r="D143" s="910">
        <v>0</v>
      </c>
      <c r="E143" s="910">
        <v>207126000</v>
      </c>
      <c r="F143" s="910">
        <f t="shared" si="20"/>
        <v>207126</v>
      </c>
      <c r="G143" s="910">
        <f t="shared" si="21"/>
        <v>0</v>
      </c>
      <c r="H143" s="910">
        <f t="shared" si="22"/>
        <v>0</v>
      </c>
      <c r="I143" s="910">
        <f t="shared" si="23"/>
        <v>207126</v>
      </c>
      <c r="P143" s="544" t="s">
        <v>402</v>
      </c>
      <c r="Q143" s="545">
        <v>16451809100</v>
      </c>
      <c r="R143" s="545">
        <v>5299026302</v>
      </c>
      <c r="S143" s="545">
        <v>5299026302</v>
      </c>
      <c r="T143" s="545">
        <v>11152782798</v>
      </c>
      <c r="U143" s="545">
        <f t="shared" si="24"/>
        <v>16451809.1</v>
      </c>
      <c r="V143" s="914">
        <f t="shared" si="25"/>
        <v>5299026.3020000001</v>
      </c>
      <c r="W143" s="914">
        <f t="shared" si="26"/>
        <v>5299026.3020000001</v>
      </c>
      <c r="X143" s="914">
        <f t="shared" si="27"/>
        <v>11152782.798</v>
      </c>
    </row>
    <row r="144" spans="1:24" ht="13.5" x14ac:dyDescent="0.25">
      <c r="A144" s="910" t="s">
        <v>407</v>
      </c>
      <c r="B144" s="910">
        <v>10100</v>
      </c>
      <c r="C144" s="910">
        <v>1692932768</v>
      </c>
      <c r="D144" s="910">
        <v>1692932768</v>
      </c>
      <c r="E144" s="910">
        <v>-1692922668</v>
      </c>
      <c r="F144" s="910">
        <f t="shared" si="20"/>
        <v>10.1</v>
      </c>
      <c r="G144" s="910">
        <f t="shared" si="21"/>
        <v>1692932.7679999999</v>
      </c>
      <c r="H144" s="910">
        <f t="shared" si="22"/>
        <v>1692932.7679999999</v>
      </c>
      <c r="I144" s="910">
        <f t="shared" si="23"/>
        <v>-1692922.6680000001</v>
      </c>
      <c r="P144" s="544" t="s">
        <v>403</v>
      </c>
      <c r="Q144" s="545">
        <v>13716466000</v>
      </c>
      <c r="R144" s="545">
        <v>1729970892</v>
      </c>
      <c r="S144" s="545">
        <v>1729970892</v>
      </c>
      <c r="T144" s="545">
        <v>11986495108</v>
      </c>
      <c r="U144" s="545">
        <f t="shared" si="24"/>
        <v>13716466</v>
      </c>
      <c r="V144" s="914">
        <f t="shared" si="25"/>
        <v>1729970.892</v>
      </c>
      <c r="W144" s="914">
        <f t="shared" si="26"/>
        <v>1729970.892</v>
      </c>
      <c r="X144" s="914">
        <f t="shared" si="27"/>
        <v>11986495.107999999</v>
      </c>
    </row>
    <row r="145" spans="6:24" ht="13.5" x14ac:dyDescent="0.25">
      <c r="F145" s="911">
        <f>+F3+F64+F119+F124+F129+F136+F140</f>
        <v>39560035.100000001</v>
      </c>
      <c r="G145" s="911">
        <f t="shared" ref="G145:I145" si="28">+G3+G64+G119+G124+G129+G136+G140</f>
        <v>4096897.6629999997</v>
      </c>
      <c r="H145" s="911">
        <f t="shared" si="28"/>
        <v>5791687.2410000004</v>
      </c>
      <c r="I145" s="911">
        <f t="shared" si="28"/>
        <v>33768347.859000005</v>
      </c>
      <c r="P145" s="913" t="s">
        <v>405</v>
      </c>
      <c r="Q145" s="545">
        <v>2528207000</v>
      </c>
      <c r="R145" s="545">
        <v>1876122642</v>
      </c>
      <c r="S145" s="545">
        <v>1876122642</v>
      </c>
      <c r="T145" s="545">
        <v>652084358</v>
      </c>
      <c r="U145" s="545">
        <f t="shared" si="24"/>
        <v>2528207</v>
      </c>
      <c r="V145" s="914">
        <f t="shared" si="25"/>
        <v>1876122.642</v>
      </c>
      <c r="W145" s="914">
        <f t="shared" si="26"/>
        <v>1876122.642</v>
      </c>
      <c r="X145" s="914">
        <f t="shared" si="27"/>
        <v>652084.35800000001</v>
      </c>
    </row>
    <row r="146" spans="6:24" ht="13.5" x14ac:dyDescent="0.25">
      <c r="P146" s="553" t="s">
        <v>964</v>
      </c>
      <c r="Q146" s="545">
        <v>207126000</v>
      </c>
      <c r="R146" s="545">
        <v>0</v>
      </c>
      <c r="S146" s="545">
        <v>0</v>
      </c>
      <c r="T146" s="545">
        <v>207126000</v>
      </c>
      <c r="U146" s="545">
        <f t="shared" si="24"/>
        <v>207126</v>
      </c>
      <c r="V146" s="914">
        <f t="shared" si="25"/>
        <v>0</v>
      </c>
      <c r="W146" s="914">
        <f t="shared" si="26"/>
        <v>0</v>
      </c>
      <c r="X146" s="914">
        <f t="shared" si="27"/>
        <v>207126</v>
      </c>
    </row>
    <row r="147" spans="6:24" ht="13.5" x14ac:dyDescent="0.25">
      <c r="P147" s="553" t="s">
        <v>407</v>
      </c>
      <c r="Q147" s="545">
        <v>10100</v>
      </c>
      <c r="R147" s="545">
        <v>1692932768</v>
      </c>
      <c r="S147" s="545">
        <v>1692932768</v>
      </c>
      <c r="T147" s="545">
        <v>-1692922668</v>
      </c>
      <c r="U147" s="545">
        <f t="shared" si="24"/>
        <v>10.1</v>
      </c>
      <c r="V147" s="914">
        <f t="shared" si="25"/>
        <v>1692932.7679999999</v>
      </c>
      <c r="W147" s="914">
        <f t="shared" si="26"/>
        <v>1692932.7679999999</v>
      </c>
      <c r="X147" s="914">
        <f t="shared" si="27"/>
        <v>-1692922.6680000001</v>
      </c>
    </row>
    <row r="148" spans="6:24" ht="13.5" x14ac:dyDescent="0.25">
      <c r="F148" s="912"/>
      <c r="G148" s="912"/>
      <c r="H148" s="912"/>
      <c r="I148" s="912"/>
      <c r="U148" s="914"/>
      <c r="V148" s="914"/>
      <c r="W148" s="914"/>
      <c r="X148" s="914"/>
    </row>
    <row r="149" spans="6:24" ht="13.5" x14ac:dyDescent="0.25">
      <c r="U149" s="553"/>
    </row>
  </sheetData>
  <autoFilter ref="A2:I145" xr:uid="{7615B5B8-A362-4245-BB90-FA1A271264B8}"/>
  <mergeCells count="1">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pageSetUpPr fitToPage="1"/>
  </sheetPr>
  <dimension ref="A1:CC1268"/>
  <sheetViews>
    <sheetView showGridLines="0" zoomScale="70" zoomScaleNormal="70" workbookViewId="0">
      <pane xSplit="1" ySplit="9" topLeftCell="C10" activePane="bottomRight" state="frozen"/>
      <selection activeCell="H72" sqref="H72"/>
      <selection pane="topRight" activeCell="H72" sqref="H72"/>
      <selection pane="bottomLeft" activeCell="H72" sqref="H72"/>
      <selection pane="bottomRight" activeCell="C6" sqref="C6:H8"/>
    </sheetView>
  </sheetViews>
  <sheetFormatPr baseColWidth="10" defaultColWidth="11.42578125" defaultRowHeight="12.75" x14ac:dyDescent="0.25"/>
  <cols>
    <col min="1" max="1" width="10.7109375" style="107" customWidth="1"/>
    <col min="2" max="2" width="29.28515625" style="233" hidden="1" customWidth="1"/>
    <col min="3" max="3" width="8.7109375" style="299" customWidth="1"/>
    <col min="4" max="4" width="8.7109375" style="601" customWidth="1"/>
    <col min="5" max="5" width="7" style="330" hidden="1" customWidth="1"/>
    <col min="6" max="6" width="6.42578125" style="330" hidden="1" customWidth="1"/>
    <col min="7" max="7" width="19.5703125" style="330" hidden="1" customWidth="1"/>
    <col min="8" max="8" width="56.28515625" style="108" customWidth="1"/>
    <col min="9" max="9" width="24.5703125" style="472" customWidth="1"/>
    <col min="10" max="11" width="24.5703125" style="474" customWidth="1"/>
    <col min="12" max="12" width="24.5703125" style="476" customWidth="1"/>
    <col min="13" max="13" width="24.5703125" style="474" hidden="1" customWidth="1"/>
    <col min="14" max="14" width="24.5703125" style="476" hidden="1" customWidth="1"/>
    <col min="15" max="15" width="24.5703125" style="474" hidden="1" customWidth="1"/>
    <col min="16" max="16" width="24.5703125" style="476" hidden="1" customWidth="1"/>
    <col min="17" max="17" width="23.7109375" style="477" customWidth="1"/>
    <col min="18" max="18" width="24.5703125" style="472" customWidth="1"/>
    <col min="19" max="19" width="24.5703125" style="476" customWidth="1"/>
    <col min="20" max="20" width="24.5703125" style="475" hidden="1" customWidth="1"/>
    <col min="21" max="22" width="23.7109375" style="476" hidden="1" customWidth="1"/>
    <col min="23" max="23" width="24" style="477" hidden="1" customWidth="1"/>
    <col min="24" max="25" width="24" style="472" hidden="1" customWidth="1"/>
    <col min="26" max="33" width="24" style="478" hidden="1" customWidth="1"/>
    <col min="34" max="34" width="25.85546875" style="930" customWidth="1"/>
    <col min="35" max="37" width="8.7109375" style="930" customWidth="1"/>
    <col min="38" max="38" width="8.7109375" style="931" customWidth="1"/>
    <col min="39" max="49" width="8.7109375" style="210" customWidth="1"/>
    <col min="50" max="50" width="14.7109375" style="201" customWidth="1"/>
    <col min="51" max="51" width="13.7109375" style="201" customWidth="1"/>
    <col min="52" max="53" width="12.42578125" style="201" customWidth="1"/>
    <col min="54" max="54" width="12.42578125" style="579" customWidth="1"/>
    <col min="55" max="56" width="14.28515625" style="905" customWidth="1"/>
    <col min="57" max="58" width="14.28515625" style="210" customWidth="1"/>
    <col min="59" max="60" width="28.42578125" style="578" customWidth="1"/>
    <col min="61" max="62" width="28.42578125" style="210" customWidth="1"/>
    <col min="63" max="68" width="23.42578125" style="210" customWidth="1"/>
    <col min="69" max="69" width="23.42578125" style="201" customWidth="1"/>
    <col min="70" max="70" width="17.7109375" style="108" customWidth="1"/>
    <col min="71" max="73" width="17.28515625" style="108" customWidth="1"/>
    <col min="74" max="16384" width="11.42578125" style="108"/>
  </cols>
  <sheetData>
    <row r="1" spans="1:73" s="300" customFormat="1" ht="15" customHeight="1" x14ac:dyDescent="0.25">
      <c r="A1" s="893"/>
      <c r="B1" s="582"/>
      <c r="C1" s="1074"/>
      <c r="D1" s="1075"/>
      <c r="E1" s="1075"/>
      <c r="F1" s="1075"/>
      <c r="G1" s="1075"/>
      <c r="H1" s="1075"/>
      <c r="I1" s="1075"/>
      <c r="J1" s="1076"/>
      <c r="K1" s="1076"/>
      <c r="L1" s="1077"/>
      <c r="M1" s="1076"/>
      <c r="N1" s="1077"/>
      <c r="O1" s="1076"/>
      <c r="P1" s="1077"/>
      <c r="Q1" s="1078"/>
      <c r="R1" s="1078"/>
      <c r="S1" s="1079"/>
      <c r="T1" s="1080"/>
      <c r="U1" s="1081"/>
      <c r="V1" s="1081"/>
      <c r="W1" s="1075"/>
      <c r="X1" s="1075"/>
      <c r="Y1" s="1075"/>
      <c r="Z1" s="1075"/>
      <c r="AA1" s="1075"/>
      <c r="AB1" s="1075"/>
      <c r="AC1" s="1075"/>
      <c r="AD1" s="1075"/>
      <c r="AE1" s="1075"/>
      <c r="AF1" s="1075"/>
      <c r="AG1" s="1082"/>
      <c r="AH1" s="917"/>
      <c r="AI1" s="917"/>
      <c r="AJ1" s="917"/>
      <c r="AK1" s="917"/>
      <c r="AL1" s="918"/>
      <c r="AM1" s="210"/>
      <c r="AN1" s="210"/>
      <c r="AO1" s="210"/>
      <c r="AP1" s="210"/>
      <c r="AQ1" s="210"/>
      <c r="AR1" s="210"/>
      <c r="AS1" s="210"/>
      <c r="AT1" s="210"/>
      <c r="AU1" s="210"/>
      <c r="AV1" s="210"/>
      <c r="AW1" s="210"/>
      <c r="AX1" s="201"/>
      <c r="AY1" s="201"/>
      <c r="AZ1" s="201"/>
      <c r="BA1" s="201"/>
      <c r="BB1" s="579"/>
      <c r="BC1" s="905"/>
      <c r="BD1" s="905"/>
      <c r="BE1" s="210"/>
      <c r="BF1" s="210"/>
      <c r="BG1" s="578"/>
      <c r="BH1" s="578"/>
      <c r="BI1" s="210"/>
      <c r="BJ1" s="210"/>
      <c r="BK1" s="210"/>
      <c r="BL1" s="210"/>
      <c r="BM1" s="210"/>
      <c r="BN1" s="210"/>
      <c r="BO1" s="210"/>
      <c r="BP1" s="210"/>
    </row>
    <row r="2" spans="1:73" s="233" customFormat="1" ht="27" customHeight="1" x14ac:dyDescent="0.25">
      <c r="A2" s="107"/>
      <c r="C2" s="1269" t="s">
        <v>906</v>
      </c>
      <c r="D2" s="1269"/>
      <c r="E2" s="1269"/>
      <c r="F2" s="1269"/>
      <c r="G2" s="1269"/>
      <c r="H2" s="1269"/>
      <c r="I2" s="1269"/>
      <c r="J2" s="1269"/>
      <c r="K2" s="1269"/>
      <c r="L2" s="1269"/>
      <c r="M2" s="1269"/>
      <c r="N2" s="1269"/>
      <c r="O2" s="1269"/>
      <c r="P2" s="1269"/>
      <c r="Q2" s="1269"/>
      <c r="R2" s="1269"/>
      <c r="S2" s="1269"/>
      <c r="T2" s="1269"/>
      <c r="U2" s="1269"/>
      <c r="V2" s="1269"/>
      <c r="W2" s="1269"/>
      <c r="X2" s="941"/>
      <c r="Y2" s="682"/>
      <c r="Z2" s="682"/>
      <c r="AA2" s="682"/>
      <c r="AB2" s="682"/>
      <c r="AC2" s="682"/>
      <c r="AD2" s="682"/>
      <c r="AE2" s="682"/>
      <c r="AF2" s="1269"/>
      <c r="AG2" s="1270"/>
      <c r="AH2" s="919"/>
      <c r="AI2" s="919"/>
      <c r="AJ2" s="919"/>
      <c r="AK2" s="919"/>
      <c r="AL2" s="920"/>
      <c r="AM2" s="577"/>
      <c r="AN2" s="577"/>
      <c r="AO2" s="577"/>
      <c r="AP2" s="577"/>
      <c r="AQ2" s="577"/>
      <c r="AR2" s="577"/>
      <c r="AS2" s="577"/>
      <c r="AT2" s="577"/>
      <c r="AU2" s="577"/>
      <c r="AV2" s="577"/>
      <c r="AW2" s="577"/>
      <c r="AX2" s="579"/>
      <c r="AY2" s="579"/>
      <c r="AZ2" s="579"/>
      <c r="BA2" s="579"/>
      <c r="BB2" s="579"/>
      <c r="BC2" s="905"/>
      <c r="BD2" s="905"/>
      <c r="BE2" s="577"/>
      <c r="BF2" s="577"/>
      <c r="BG2" s="884"/>
      <c r="BH2" s="884"/>
      <c r="BI2" s="577"/>
      <c r="BJ2" s="577"/>
      <c r="BK2" s="577"/>
      <c r="BL2" s="577"/>
      <c r="BM2" s="577"/>
      <c r="BN2" s="577"/>
      <c r="BO2" s="577"/>
      <c r="BP2" s="577"/>
      <c r="BQ2" s="886"/>
    </row>
    <row r="3" spans="1:73" s="883" customFormat="1" ht="27" hidden="1" customHeight="1" x14ac:dyDescent="0.25">
      <c r="A3" s="107"/>
      <c r="B3" s="233"/>
      <c r="C3" s="951"/>
      <c r="D3" s="952"/>
      <c r="E3" s="953"/>
      <c r="F3" s="953"/>
      <c r="G3" s="954"/>
      <c r="H3" s="955"/>
      <c r="I3" s="956"/>
      <c r="J3" s="957"/>
      <c r="K3" s="957"/>
      <c r="L3" s="958"/>
      <c r="M3" s="957"/>
      <c r="N3" s="958"/>
      <c r="O3" s="957"/>
      <c r="P3" s="958"/>
      <c r="Q3" s="959"/>
      <c r="R3" s="956"/>
      <c r="S3" s="958"/>
      <c r="T3" s="958" t="s">
        <v>266</v>
      </c>
      <c r="U3" s="958" t="s">
        <v>126</v>
      </c>
      <c r="V3" s="958" t="s">
        <v>266</v>
      </c>
      <c r="W3" s="958" t="s">
        <v>126</v>
      </c>
      <c r="X3" s="1095"/>
      <c r="Y3" s="958"/>
      <c r="Z3" s="958"/>
      <c r="AA3" s="958"/>
      <c r="AB3" s="958"/>
      <c r="AC3" s="958"/>
      <c r="AD3" s="958"/>
      <c r="AE3" s="958"/>
      <c r="AF3" s="958"/>
      <c r="AG3" s="1083"/>
      <c r="AH3" s="921"/>
      <c r="AI3" s="921"/>
      <c r="AJ3" s="921"/>
      <c r="AK3" s="921"/>
      <c r="AL3" s="922"/>
      <c r="AM3" s="577"/>
      <c r="AN3" s="577"/>
      <c r="AO3" s="577"/>
      <c r="AP3" s="577"/>
      <c r="AQ3" s="577"/>
      <c r="AR3" s="577"/>
      <c r="AS3" s="577"/>
      <c r="AT3" s="577"/>
      <c r="AU3" s="577"/>
      <c r="AV3" s="577"/>
      <c r="AW3" s="577"/>
      <c r="AX3" s="579"/>
      <c r="AY3" s="579"/>
      <c r="AZ3" s="579"/>
      <c r="BA3" s="579"/>
      <c r="BB3" s="579"/>
      <c r="BC3" s="905"/>
      <c r="BD3" s="905"/>
      <c r="BE3" s="577"/>
      <c r="BF3" s="577"/>
      <c r="BG3" s="884"/>
      <c r="BH3" s="884"/>
      <c r="BI3" s="577"/>
      <c r="BJ3" s="577"/>
      <c r="BK3" s="577"/>
      <c r="BL3" s="577"/>
      <c r="BM3" s="577"/>
      <c r="BN3" s="577"/>
      <c r="BO3" s="577"/>
      <c r="BP3" s="577"/>
      <c r="BQ3" s="885"/>
    </row>
    <row r="4" spans="1:73" s="883" customFormat="1" ht="27" hidden="1" customHeight="1" x14ac:dyDescent="0.25">
      <c r="A4" s="107"/>
      <c r="B4" s="233"/>
      <c r="C4" s="951"/>
      <c r="D4" s="952"/>
      <c r="E4" s="953"/>
      <c r="F4" s="953"/>
      <c r="G4" s="954"/>
      <c r="H4" s="955"/>
      <c r="I4" s="956"/>
      <c r="J4" s="957"/>
      <c r="K4" s="957"/>
      <c r="L4" s="958"/>
      <c r="M4" s="957"/>
      <c r="N4" s="958"/>
      <c r="O4" s="957"/>
      <c r="P4" s="958"/>
      <c r="Q4" s="959"/>
      <c r="R4" s="956"/>
      <c r="S4" s="958"/>
      <c r="T4" s="960"/>
      <c r="U4" s="958"/>
      <c r="V4" s="958"/>
      <c r="W4" s="959"/>
      <c r="X4" s="1102"/>
      <c r="Y4" s="1070"/>
      <c r="Z4" s="1071"/>
      <c r="AA4" s="1071"/>
      <c r="AB4" s="1071"/>
      <c r="AC4" s="1071"/>
      <c r="AD4" s="1071"/>
      <c r="AE4" s="1071"/>
      <c r="AF4" s="1071"/>
      <c r="AG4" s="1084"/>
      <c r="AH4" s="923"/>
      <c r="AI4" s="923"/>
      <c r="AJ4" s="923"/>
      <c r="AK4" s="923"/>
      <c r="AL4" s="924"/>
      <c r="AM4" s="577"/>
      <c r="AN4" s="577"/>
      <c r="AO4" s="577"/>
      <c r="AP4" s="577"/>
      <c r="AQ4" s="577"/>
      <c r="AR4" s="577"/>
      <c r="AS4" s="577"/>
      <c r="AT4" s="577"/>
      <c r="AU4" s="577"/>
      <c r="AV4" s="577"/>
      <c r="AW4" s="577"/>
      <c r="AX4" s="579"/>
      <c r="AY4" s="579"/>
      <c r="AZ4" s="579"/>
      <c r="BA4" s="579"/>
      <c r="BB4" s="579"/>
      <c r="BC4" s="905"/>
      <c r="BD4" s="905"/>
      <c r="BE4" s="577"/>
      <c r="BF4" s="577"/>
      <c r="BG4" s="884"/>
      <c r="BH4" s="884"/>
      <c r="BI4" s="577"/>
      <c r="BJ4" s="577"/>
      <c r="BK4" s="577"/>
      <c r="BL4" s="577"/>
      <c r="BM4" s="577"/>
      <c r="BN4" s="577"/>
      <c r="BO4" s="577"/>
      <c r="BP4" s="577"/>
      <c r="BQ4" s="885"/>
    </row>
    <row r="5" spans="1:73" s="233" customFormat="1" ht="27" customHeight="1" x14ac:dyDescent="0.25">
      <c r="A5" s="107"/>
      <c r="C5" s="1269" t="s">
        <v>905</v>
      </c>
      <c r="D5" s="1269"/>
      <c r="E5" s="1269"/>
      <c r="F5" s="1269"/>
      <c r="G5" s="1269"/>
      <c r="H5" s="1269"/>
      <c r="I5" s="1269"/>
      <c r="J5" s="1269"/>
      <c r="K5" s="1269"/>
      <c r="L5" s="1269"/>
      <c r="M5" s="1269"/>
      <c r="N5" s="1269"/>
      <c r="O5" s="1269"/>
      <c r="P5" s="1269"/>
      <c r="Q5" s="1269"/>
      <c r="R5" s="1269"/>
      <c r="S5" s="1269"/>
      <c r="T5" s="1269"/>
      <c r="U5" s="1269"/>
      <c r="V5" s="1269"/>
      <c r="W5" s="1269"/>
      <c r="X5" s="941"/>
      <c r="Y5" s="682"/>
      <c r="Z5" s="682"/>
      <c r="AA5" s="682"/>
      <c r="AB5" s="682"/>
      <c r="AC5" s="682"/>
      <c r="AD5" s="682"/>
      <c r="AE5" s="682"/>
      <c r="AF5" s="654"/>
      <c r="AG5" s="1039"/>
      <c r="AH5" s="919"/>
      <c r="AI5" s="919"/>
      <c r="AJ5" s="919"/>
      <c r="AK5" s="919"/>
      <c r="AL5" s="920"/>
      <c r="AM5" s="210"/>
      <c r="AN5" s="210"/>
      <c r="AO5" s="210"/>
      <c r="AP5" s="210"/>
      <c r="AQ5" s="210"/>
      <c r="AR5" s="210"/>
      <c r="AS5" s="210"/>
      <c r="AT5" s="210"/>
      <c r="AU5" s="210"/>
      <c r="AV5" s="210"/>
      <c r="AW5" s="210"/>
      <c r="AX5" s="201"/>
      <c r="AY5" s="201"/>
      <c r="AZ5" s="201"/>
      <c r="BA5" s="201"/>
      <c r="BB5" s="579"/>
      <c r="BC5" s="905"/>
      <c r="BD5" s="905"/>
      <c r="BE5" s="210"/>
      <c r="BF5" s="210"/>
      <c r="BG5" s="578"/>
      <c r="BH5" s="578"/>
      <c r="BI5" s="210"/>
      <c r="BJ5" s="210"/>
      <c r="BK5" s="210"/>
      <c r="BL5" s="210"/>
      <c r="BM5" s="210"/>
      <c r="BN5" s="210"/>
      <c r="BO5" s="210"/>
      <c r="BP5" s="210"/>
      <c r="BQ5" s="232"/>
    </row>
    <row r="6" spans="1:73" ht="27" customHeight="1" x14ac:dyDescent="0.25">
      <c r="C6" s="1271" t="s">
        <v>276</v>
      </c>
      <c r="D6" s="1271"/>
      <c r="E6" s="1271"/>
      <c r="F6" s="1271"/>
      <c r="G6" s="1271"/>
      <c r="H6" s="1271"/>
      <c r="I6" s="1272" t="s">
        <v>1012</v>
      </c>
      <c r="J6" s="1272"/>
      <c r="K6" s="1272"/>
      <c r="L6" s="1272"/>
      <c r="M6" s="1272"/>
      <c r="N6" s="1272"/>
      <c r="O6" s="1272"/>
      <c r="P6" s="1272"/>
      <c r="Q6" s="1273" t="s">
        <v>878</v>
      </c>
      <c r="R6" s="1273"/>
      <c r="S6" s="1273"/>
      <c r="T6" s="1275"/>
      <c r="U6" s="1275"/>
      <c r="V6" s="1275"/>
      <c r="W6" s="1275"/>
      <c r="X6" s="880"/>
      <c r="Y6" s="535"/>
      <c r="Z6" s="535"/>
      <c r="AA6" s="535"/>
      <c r="AB6" s="535"/>
      <c r="AC6" s="535"/>
      <c r="AD6" s="535"/>
      <c r="AE6" s="535"/>
      <c r="AF6" s="535"/>
      <c r="AG6" s="1000"/>
      <c r="AH6" s="925"/>
      <c r="AI6" s="925"/>
      <c r="AJ6" s="925"/>
      <c r="AK6" s="925"/>
      <c r="AL6" s="926"/>
    </row>
    <row r="7" spans="1:73" ht="27" customHeight="1" x14ac:dyDescent="0.25">
      <c r="C7" s="1271"/>
      <c r="D7" s="1271"/>
      <c r="E7" s="1271"/>
      <c r="F7" s="1271"/>
      <c r="G7" s="1271"/>
      <c r="H7" s="1271"/>
      <c r="I7" s="637" t="s">
        <v>129</v>
      </c>
      <c r="J7" s="797" t="s">
        <v>130</v>
      </c>
      <c r="K7" s="797" t="s">
        <v>131</v>
      </c>
      <c r="L7" s="683" t="s">
        <v>132</v>
      </c>
      <c r="M7" s="797" t="s">
        <v>705</v>
      </c>
      <c r="N7" s="683" t="s">
        <v>940</v>
      </c>
      <c r="O7" s="797" t="s">
        <v>706</v>
      </c>
      <c r="P7" s="683" t="s">
        <v>941</v>
      </c>
      <c r="Q7" s="639" t="s">
        <v>129</v>
      </c>
      <c r="R7" s="640" t="s">
        <v>130</v>
      </c>
      <c r="S7" s="972" t="s">
        <v>133</v>
      </c>
      <c r="T7" s="1275" t="s">
        <v>0</v>
      </c>
      <c r="U7" s="1275"/>
      <c r="V7" s="1274" t="s">
        <v>136</v>
      </c>
      <c r="W7" s="1274"/>
      <c r="X7" s="880" t="s">
        <v>6</v>
      </c>
      <c r="Y7" s="535" t="s">
        <v>7</v>
      </c>
      <c r="Z7" s="535" t="s">
        <v>8</v>
      </c>
      <c r="AA7" s="535" t="s">
        <v>9</v>
      </c>
      <c r="AB7" s="535" t="s">
        <v>79</v>
      </c>
      <c r="AC7" s="535" t="s">
        <v>10</v>
      </c>
      <c r="AD7" s="535" t="s">
        <v>11</v>
      </c>
      <c r="AE7" s="535" t="s">
        <v>12</v>
      </c>
      <c r="AF7" s="535" t="s">
        <v>13</v>
      </c>
      <c r="AG7" s="1000" t="s">
        <v>14</v>
      </c>
      <c r="AH7" s="925"/>
      <c r="AI7" s="925"/>
      <c r="AJ7" s="925"/>
      <c r="AK7" s="925"/>
      <c r="AL7" s="926"/>
    </row>
    <row r="8" spans="1:73" s="20" customFormat="1" ht="57" customHeight="1" x14ac:dyDescent="0.25">
      <c r="A8" s="894"/>
      <c r="B8" s="583"/>
      <c r="C8" s="1271"/>
      <c r="D8" s="1271"/>
      <c r="E8" s="1271"/>
      <c r="F8" s="1271"/>
      <c r="G8" s="1271"/>
      <c r="H8" s="1271"/>
      <c r="I8" s="641" t="s">
        <v>1005</v>
      </c>
      <c r="J8" s="641" t="s">
        <v>1006</v>
      </c>
      <c r="K8" s="641" t="s">
        <v>1062</v>
      </c>
      <c r="L8" s="798" t="s">
        <v>1063</v>
      </c>
      <c r="M8" s="641" t="s">
        <v>718</v>
      </c>
      <c r="N8" s="798" t="s">
        <v>717</v>
      </c>
      <c r="O8" s="641" t="s">
        <v>715</v>
      </c>
      <c r="P8" s="798" t="s">
        <v>716</v>
      </c>
      <c r="Q8" s="643" t="s">
        <v>1059</v>
      </c>
      <c r="R8" s="643" t="s">
        <v>1060</v>
      </c>
      <c r="S8" s="973" t="s">
        <v>1061</v>
      </c>
      <c r="T8" s="625" t="s">
        <v>1013</v>
      </c>
      <c r="U8" s="625" t="s">
        <v>879</v>
      </c>
      <c r="V8" s="1193" t="s">
        <v>1013</v>
      </c>
      <c r="W8" s="1193" t="s">
        <v>879</v>
      </c>
      <c r="X8" s="870" t="s">
        <v>879</v>
      </c>
      <c r="Y8" s="625" t="s">
        <v>879</v>
      </c>
      <c r="Z8" s="625" t="s">
        <v>879</v>
      </c>
      <c r="AA8" s="625" t="s">
        <v>879</v>
      </c>
      <c r="AB8" s="625" t="s">
        <v>879</v>
      </c>
      <c r="AC8" s="625" t="s">
        <v>879</v>
      </c>
      <c r="AD8" s="625" t="s">
        <v>879</v>
      </c>
      <c r="AE8" s="625" t="s">
        <v>879</v>
      </c>
      <c r="AF8" s="625" t="s">
        <v>879</v>
      </c>
      <c r="AG8" s="1001" t="s">
        <v>879</v>
      </c>
      <c r="AH8" s="927"/>
      <c r="AI8" s="927"/>
      <c r="AJ8" s="927"/>
      <c r="AK8" s="927"/>
      <c r="AL8" s="928"/>
      <c r="AM8" s="210"/>
      <c r="AN8" s="1268"/>
      <c r="AO8" s="1268"/>
      <c r="AP8" s="1268"/>
      <c r="AQ8" s="1268"/>
      <c r="AR8" s="1268"/>
      <c r="AS8" s="210"/>
      <c r="AT8" s="210"/>
      <c r="AU8" s="210"/>
      <c r="AV8" s="210"/>
      <c r="AW8" s="210"/>
      <c r="AX8" s="201"/>
      <c r="AY8" s="201"/>
      <c r="AZ8" s="201"/>
      <c r="BA8" s="201"/>
      <c r="BB8" s="579"/>
      <c r="BC8" s="905"/>
      <c r="BD8" s="905"/>
      <c r="BE8" s="210"/>
      <c r="BF8" s="210"/>
      <c r="BG8" s="201"/>
      <c r="BH8" s="201"/>
      <c r="BI8" s="201"/>
      <c r="BJ8" s="201"/>
      <c r="BK8" s="201"/>
      <c r="BL8" s="335"/>
      <c r="BM8" s="335"/>
      <c r="BN8" s="335"/>
      <c r="BO8" s="335"/>
      <c r="BP8" s="210"/>
      <c r="BQ8" s="201"/>
    </row>
    <row r="9" spans="1:73" ht="35.450000000000003" customHeight="1" x14ac:dyDescent="0.25">
      <c r="B9" s="233" t="s">
        <v>339</v>
      </c>
      <c r="C9" s="799" t="s">
        <v>904</v>
      </c>
      <c r="D9" s="800" t="s">
        <v>92</v>
      </c>
      <c r="E9" s="734" t="s">
        <v>93</v>
      </c>
      <c r="F9" s="734" t="s">
        <v>94</v>
      </c>
      <c r="G9" s="734"/>
      <c r="H9" s="799" t="s">
        <v>82</v>
      </c>
      <c r="I9" s="736">
        <f>+I10+I80+I153+I182+I189+I203+I148+I200</f>
        <v>40123745.100000001</v>
      </c>
      <c r="J9" s="736">
        <f>+J10+J80+J153+J182+J189+J203+J148+J200</f>
        <v>39560035.100000001</v>
      </c>
      <c r="K9" s="736">
        <f ca="1">+K10+K80+K153+K182+K189+K203+K148+K200</f>
        <v>8268432.3619999997</v>
      </c>
      <c r="L9" s="739">
        <f t="shared" ref="L9:L40" ca="1" si="0">IFERROR(K9/J9,0)</f>
        <v>0.20900973270370024</v>
      </c>
      <c r="M9" s="801">
        <f>+M10+M80+M148+M153+M182+M189+M203+M208+M200</f>
        <v>10476240.495999999</v>
      </c>
      <c r="N9" s="739">
        <f t="shared" ref="N9:N40" si="1">+IFERROR(M9/J9,0%)</f>
        <v>0.26481878667493902</v>
      </c>
      <c r="O9" s="801">
        <f>+O10+O80+O148+O153+O182+O189+O203+O208+O200</f>
        <v>29083794.604000002</v>
      </c>
      <c r="P9" s="739">
        <f t="shared" ref="P9:P72" si="2">+IFERROR(O9/J9,0)</f>
        <v>0.73518121332506103</v>
      </c>
      <c r="Q9" s="802">
        <f>+Q10+Q80+Q148+Q153+Q182+Q189+Q203</f>
        <v>38960464.506200001</v>
      </c>
      <c r="R9" s="802">
        <f ca="1">+R10+R80+R148+R153+R182+R189+R203</f>
        <v>5119111.9668000005</v>
      </c>
      <c r="S9" s="739">
        <f t="shared" ref="S9:S12" ca="1" si="3">IFERROR(R9/Q9,"0,00%")</f>
        <v>0.13139247777667967</v>
      </c>
      <c r="T9" s="803">
        <f>+T10+T80+T148+T153+T182+T189+T200+T203+T208</f>
        <v>4096897.6629999997</v>
      </c>
      <c r="U9" s="803">
        <f>+U10+U80+U148+U153+U182+U189+U200+U203+U208</f>
        <v>3583215.8779020002</v>
      </c>
      <c r="V9" s="803">
        <f>+V10+V80+V148+V153+V182+V189+V200+V203+V208</f>
        <v>4171534.699</v>
      </c>
      <c r="W9" s="802">
        <f>+W10+W80+W148+W153+W182+W189+W203+W208</f>
        <v>1535896.0888980001</v>
      </c>
      <c r="X9" s="942">
        <f>+X10+X80+X153+X182+X189+X203</f>
        <v>10534650.613</v>
      </c>
      <c r="Y9" s="802">
        <f>+Y10+Y80+Y153+Y182+Y189+Y203</f>
        <v>1638310.1770000004</v>
      </c>
      <c r="Z9" s="802">
        <f>+Z10+Z80+Z153+Z182+Z189+Z203</f>
        <v>1717240.5799999998</v>
      </c>
      <c r="AA9" s="802">
        <f>+AA10+AA80+AA153+AA182+AA189+AA203</f>
        <v>3070895.4870000002</v>
      </c>
      <c r="AB9" s="802">
        <f>+AB10+AB80+AB153+AB182+AB189+AB203+AB148</f>
        <v>3078617.6100000003</v>
      </c>
      <c r="AC9" s="802">
        <f>+AC10+AC80+AC153+AC182+AC189+AC203</f>
        <v>2150047.8030000003</v>
      </c>
      <c r="AD9" s="802">
        <f>+AD10+AD80+AD153+AD182+AD189+AD203</f>
        <v>8172325.824</v>
      </c>
      <c r="AE9" s="802">
        <f>AE10+AE80+AE148+AE153+AE182+AE189+AE200+AE203+AE208</f>
        <v>1677670.1090000002</v>
      </c>
      <c r="AF9" s="802">
        <f>+AF10+AF80+AF153+AF182+AF189+AF203</f>
        <v>2037625.429</v>
      </c>
      <c r="AG9" s="1085">
        <f>+AG10+AG80+AG153+AG182+AG189+AG203+AG148+AG200</f>
        <v>4799375.3400000008</v>
      </c>
      <c r="AH9" s="915"/>
      <c r="AI9" s="915"/>
      <c r="AJ9" s="915"/>
      <c r="AK9" s="915"/>
      <c r="AL9" s="916"/>
      <c r="AX9" s="210"/>
      <c r="AY9" s="210"/>
      <c r="AZ9" s="210"/>
      <c r="BA9" s="210"/>
      <c r="BB9" s="210"/>
      <c r="BE9" s="577"/>
      <c r="BF9" s="577"/>
      <c r="BG9" s="198"/>
      <c r="BH9" s="201"/>
      <c r="BI9" s="201"/>
      <c r="BJ9" s="201"/>
      <c r="BK9" s="201"/>
      <c r="BL9" s="201"/>
      <c r="BR9" s="198"/>
      <c r="BS9" s="161"/>
      <c r="BT9" s="161"/>
      <c r="BU9" s="161"/>
    </row>
    <row r="10" spans="1:73" ht="15" customHeight="1" x14ac:dyDescent="0.25">
      <c r="B10" s="233" t="s">
        <v>459</v>
      </c>
      <c r="C10" s="961" t="s">
        <v>153</v>
      </c>
      <c r="D10" s="238"/>
      <c r="E10" s="47"/>
      <c r="F10" s="47"/>
      <c r="G10" s="47"/>
      <c r="H10" s="618" t="s">
        <v>16</v>
      </c>
      <c r="I10" s="195">
        <f>+'P01 2025'!F3+404553</f>
        <v>20227651</v>
      </c>
      <c r="J10" s="415">
        <f>+'P01 2025'!U3</f>
        <v>19823098</v>
      </c>
      <c r="K10" s="415">
        <f ca="1">+K11+K42+K73</f>
        <v>2700922.9169999999</v>
      </c>
      <c r="L10" s="562">
        <f t="shared" ca="1" si="0"/>
        <v>0.13625130224347373</v>
      </c>
      <c r="M10" s="415">
        <f>+'P01 2025'!W3</f>
        <v>2700922.9169999999</v>
      </c>
      <c r="N10" s="562">
        <f t="shared" si="1"/>
        <v>0.13625130224347373</v>
      </c>
      <c r="O10" s="415">
        <f>J10-M10</f>
        <v>17122175.083000001</v>
      </c>
      <c r="P10" s="691">
        <f t="shared" si="2"/>
        <v>0.8637486977565263</v>
      </c>
      <c r="Q10" s="416">
        <f>+'P01 2024'!X3</f>
        <v>19860541.881999999</v>
      </c>
      <c r="R10" s="416">
        <f ca="1">+R11+R42+R73</f>
        <v>2669029.9934600005</v>
      </c>
      <c r="S10" s="562">
        <f t="shared" ca="1" si="3"/>
        <v>0.13438857858551156</v>
      </c>
      <c r="T10" s="962">
        <f>+'P01 2025'!G3</f>
        <v>1357754.152</v>
      </c>
      <c r="U10" s="804">
        <f>+'P01 2024'!K3</f>
        <v>1325168.1264800001</v>
      </c>
      <c r="V10" s="804">
        <f>+'P01 2025'!N3</f>
        <v>1343168.7649999999</v>
      </c>
      <c r="W10" s="109">
        <f>+'P01 2024'!Q3</f>
        <v>1343861.8669799999</v>
      </c>
      <c r="X10" s="943">
        <f>+'P01 2024'!AE3</f>
        <v>2224450.5929999999</v>
      </c>
      <c r="Y10" s="109">
        <f>+'P01 2024'!AT3</f>
        <v>1325958.8700000001</v>
      </c>
      <c r="Z10" s="109">
        <f>+'P01 2024'!BI3</f>
        <v>1314037.568</v>
      </c>
      <c r="AA10" s="109">
        <f>+'P01 2024'!BX3</f>
        <v>2268204.696</v>
      </c>
      <c r="AB10" s="109">
        <f>+'P01 2024'!CM3</f>
        <v>1318116.5109999999</v>
      </c>
      <c r="AC10" s="109">
        <f>+'P01 2024'!DB3</f>
        <v>1314059.5290000001</v>
      </c>
      <c r="AD10" s="109">
        <f>+'P01 2024'!DR3</f>
        <v>2273246.202</v>
      </c>
      <c r="AE10" s="109">
        <f>'P01 2024'!EG3</f>
        <v>1298474.094</v>
      </c>
      <c r="AF10" s="109">
        <f>+'P01 2024'!ET3</f>
        <v>1304211.0560000001</v>
      </c>
      <c r="AG10" s="1006">
        <f>+'P01 2024'!FL3</f>
        <v>2384792.1</v>
      </c>
      <c r="AH10" s="915"/>
      <c r="AI10" s="915"/>
      <c r="AJ10" s="915"/>
      <c r="AK10" s="915"/>
      <c r="AL10" s="916"/>
      <c r="BB10" s="201"/>
      <c r="BE10" s="577"/>
      <c r="BF10" s="577"/>
      <c r="BG10" s="198"/>
      <c r="BH10" s="580"/>
      <c r="BI10" s="201"/>
      <c r="BK10" s="201"/>
      <c r="BL10" s="201"/>
      <c r="BR10" s="198"/>
      <c r="BS10" s="161"/>
      <c r="BT10" s="202"/>
      <c r="BU10" s="202"/>
    </row>
    <row r="11" spans="1:73" ht="15" hidden="1" customHeight="1" x14ac:dyDescent="0.25">
      <c r="B11" s="233" t="s">
        <v>458</v>
      </c>
      <c r="C11" s="961"/>
      <c r="D11" s="238" t="s">
        <v>155</v>
      </c>
      <c r="E11" s="47"/>
      <c r="F11" s="47"/>
      <c r="G11" s="47"/>
      <c r="H11" s="618" t="s">
        <v>17</v>
      </c>
      <c r="I11" s="195">
        <f>+'P01 2025'!F4</f>
        <v>803888.11199999996</v>
      </c>
      <c r="J11" s="415">
        <f>+'P01 2025'!U4</f>
        <v>803888.11199999996</v>
      </c>
      <c r="K11" s="415">
        <f ca="1">+K12+K26+K29+K33+K38</f>
        <v>98376.553</v>
      </c>
      <c r="L11" s="562">
        <f t="shared" ca="1" si="0"/>
        <v>0.1223759271116078</v>
      </c>
      <c r="M11" s="415">
        <f>+'P01 2025'!W4</f>
        <v>98376.553</v>
      </c>
      <c r="N11" s="562">
        <f t="shared" si="1"/>
        <v>0.1223759271116078</v>
      </c>
      <c r="O11" s="415">
        <f t="shared" ref="O11:O41" si="4">J11-M11</f>
        <v>705511.55900000001</v>
      </c>
      <c r="P11" s="691">
        <f t="shared" si="2"/>
        <v>0.87762407288839228</v>
      </c>
      <c r="Q11" s="416">
        <f>+'P01 2024'!X4</f>
        <v>1024018.7270000001</v>
      </c>
      <c r="R11" s="416">
        <f ca="1">+R12+R26+R29+R33+R38</f>
        <v>127722.65609199999</v>
      </c>
      <c r="S11" s="562">
        <f t="shared" ca="1" si="3"/>
        <v>0.1247268753240291</v>
      </c>
      <c r="T11" s="962">
        <f>+'P01 2025'!G4</f>
        <v>49432.487999999998</v>
      </c>
      <c r="U11" s="804">
        <f>+'P01 2024'!K4</f>
        <v>64548.273840000002</v>
      </c>
      <c r="V11" s="804">
        <f>+'P01 2025'!N4</f>
        <v>48944.065000000002</v>
      </c>
      <c r="W11" s="109">
        <f>+'P01 2024'!Q4</f>
        <v>63174.382252000003</v>
      </c>
      <c r="X11" s="943">
        <f>+'P01 2024'!AE4</f>
        <v>95449.534</v>
      </c>
      <c r="Y11" s="109">
        <f>+'P01 2024'!AT4</f>
        <v>60448.627999999997</v>
      </c>
      <c r="Z11" s="109">
        <f>+'P01 2024'!BI4</f>
        <v>56809.207999999999</v>
      </c>
      <c r="AA11" s="109">
        <f>+'P01 2024'!BX4</f>
        <v>91423.100999999995</v>
      </c>
      <c r="AB11" s="109">
        <f>+'P01 2024'!CM4</f>
        <v>52293.328999999998</v>
      </c>
      <c r="AC11" s="109">
        <f>+'P01 2024'!DB4</f>
        <v>52533.41</v>
      </c>
      <c r="AD11" s="109">
        <f>+'P01 2024'!DR4</f>
        <v>82497.581999999995</v>
      </c>
      <c r="AE11" s="109">
        <f>+AE12+AE26+AE29+AE33+AE38</f>
        <v>52885.635000000002</v>
      </c>
      <c r="AF11" s="109">
        <f>+'P01 2024'!ET4</f>
        <v>52342.317000000003</v>
      </c>
      <c r="AG11" s="1006">
        <f>+'P01 2024'!FL4</f>
        <v>84096.785000000003</v>
      </c>
      <c r="AH11" s="915"/>
      <c r="AI11" s="915"/>
      <c r="AJ11" s="915"/>
      <c r="AK11" s="915"/>
      <c r="AL11" s="916"/>
      <c r="BB11" s="201"/>
      <c r="BE11" s="577"/>
      <c r="BF11" s="577"/>
      <c r="BG11" s="198"/>
      <c r="BH11" s="580"/>
      <c r="BI11" s="201"/>
      <c r="BK11" s="201"/>
      <c r="BL11" s="201"/>
      <c r="BR11" s="198"/>
      <c r="BS11" s="161"/>
      <c r="BT11" s="202"/>
      <c r="BU11" s="202"/>
    </row>
    <row r="12" spans="1:73" s="417" customFormat="1" ht="15" hidden="1" customHeight="1" x14ac:dyDescent="0.25">
      <c r="A12" s="107"/>
      <c r="B12" s="233" t="s">
        <v>457</v>
      </c>
      <c r="C12" s="961"/>
      <c r="D12" s="238"/>
      <c r="E12" s="47" t="s">
        <v>154</v>
      </c>
      <c r="F12" s="47"/>
      <c r="G12" s="47"/>
      <c r="H12" s="618" t="s">
        <v>18</v>
      </c>
      <c r="I12" s="195">
        <f>+'P01 2025'!F5</f>
        <v>628990.02500000002</v>
      </c>
      <c r="J12" s="415">
        <f>+'P01 2025'!U5</f>
        <v>628990.02500000002</v>
      </c>
      <c r="K12" s="415">
        <f ca="1">SUM(K13:K25)</f>
        <v>81575.12000000001</v>
      </c>
      <c r="L12" s="562">
        <f t="shared" ca="1" si="0"/>
        <v>0.1296922316057397</v>
      </c>
      <c r="M12" s="415">
        <f>+'P01 2025'!W5</f>
        <v>81575.12</v>
      </c>
      <c r="N12" s="562">
        <f t="shared" si="1"/>
        <v>0.12969223160573967</v>
      </c>
      <c r="O12" s="415">
        <f t="shared" si="4"/>
        <v>547414.90500000003</v>
      </c>
      <c r="P12" s="691">
        <f t="shared" si="2"/>
        <v>0.87030776839426027</v>
      </c>
      <c r="Q12" s="416">
        <f>+'P01 2024'!X5</f>
        <v>718969.58000000007</v>
      </c>
      <c r="R12" s="416">
        <f>SUM(R13:R25)</f>
        <v>105570.508214</v>
      </c>
      <c r="S12" s="562">
        <f t="shared" si="3"/>
        <v>0.14683584834562818</v>
      </c>
      <c r="T12" s="962">
        <f>+'P01 2025'!G5</f>
        <v>40787.56</v>
      </c>
      <c r="U12" s="804">
        <f>+'P01 2024'!K5</f>
        <v>52803.651138000001</v>
      </c>
      <c r="V12" s="804">
        <f>+'P01 2025'!N5</f>
        <v>40787.56</v>
      </c>
      <c r="W12" s="109">
        <f>+'P01 2024'!Q5</f>
        <v>52766.857076000008</v>
      </c>
      <c r="X12" s="943">
        <f>+'P01 2024'!AE5</f>
        <v>70344.421000000002</v>
      </c>
      <c r="Y12" s="109">
        <f>+'P01 2024'!AT5</f>
        <v>50704.451999999997</v>
      </c>
      <c r="Z12" s="109">
        <f>+'P01 2024'!BI5</f>
        <v>47218.468000000001</v>
      </c>
      <c r="AA12" s="109">
        <f>+'P01 2024'!BX5</f>
        <v>66374.206999999995</v>
      </c>
      <c r="AB12" s="109">
        <f>+'P01 2024'!CM5</f>
        <v>42983.642999999996</v>
      </c>
      <c r="AC12" s="109">
        <f>+'P01 2024'!DB5</f>
        <v>42937.440000000002</v>
      </c>
      <c r="AD12" s="109">
        <f>+'P01 2024'!DR5</f>
        <v>59826.603000000003</v>
      </c>
      <c r="AE12" s="109">
        <f>SUM(AE13:AE25)</f>
        <v>43180.752999999997</v>
      </c>
      <c r="AF12" s="109">
        <f>+'P01 2024'!ET5</f>
        <v>43020.819000000003</v>
      </c>
      <c r="AG12" s="1006">
        <f>+'P01 2024'!FL5</f>
        <v>61068.572</v>
      </c>
      <c r="AH12" s="915"/>
      <c r="AI12" s="915"/>
      <c r="AJ12" s="915"/>
      <c r="AK12" s="915"/>
      <c r="AL12" s="916"/>
      <c r="AM12" s="210"/>
      <c r="AN12" s="210"/>
      <c r="AO12" s="210"/>
      <c r="AP12" s="210"/>
      <c r="AQ12" s="210"/>
      <c r="AR12" s="210"/>
      <c r="AS12" s="210"/>
      <c r="AT12" s="210"/>
      <c r="AU12" s="210"/>
      <c r="AV12" s="210"/>
      <c r="AW12" s="210"/>
      <c r="AX12" s="201"/>
      <c r="AY12" s="201"/>
      <c r="AZ12" s="201"/>
      <c r="BA12" s="201"/>
      <c r="BB12" s="201"/>
      <c r="BC12" s="905"/>
      <c r="BD12" s="905"/>
      <c r="BE12" s="577"/>
      <c r="BF12" s="577"/>
      <c r="BG12" s="198"/>
      <c r="BH12" s="580"/>
      <c r="BI12" s="201"/>
      <c r="BJ12" s="210"/>
      <c r="BK12" s="201"/>
      <c r="BL12" s="201"/>
      <c r="BM12" s="210"/>
      <c r="BN12" s="210"/>
      <c r="BO12" s="210"/>
      <c r="BP12" s="210"/>
      <c r="BQ12" s="201"/>
      <c r="BR12" s="198"/>
      <c r="BS12" s="161"/>
      <c r="BT12" s="202"/>
      <c r="BU12" s="202"/>
    </row>
    <row r="13" spans="1:73" ht="15" hidden="1" customHeight="1" x14ac:dyDescent="0.25">
      <c r="B13" s="233" t="s">
        <v>456</v>
      </c>
      <c r="C13" s="963"/>
      <c r="D13" s="209"/>
      <c r="E13" s="419"/>
      <c r="F13" s="419">
        <v>1</v>
      </c>
      <c r="G13" s="418" t="str">
        <f>+CONCATENATE($C$10,"",$D$11,"",$E$12,"00",F13)</f>
        <v>21.01.001.001</v>
      </c>
      <c r="H13" s="812" t="s">
        <v>123</v>
      </c>
      <c r="I13" s="420">
        <f>+'P01 2025'!F6</f>
        <v>116011.474</v>
      </c>
      <c r="J13" s="420">
        <f>+'P01 2025'!U6</f>
        <v>116011.474</v>
      </c>
      <c r="K13" s="420">
        <f>SUMIF(T3:$AG$3,"ok",T13:AG13)</f>
        <v>16600.356</v>
      </c>
      <c r="L13" s="563">
        <f t="shared" si="0"/>
        <v>0.14309236343294801</v>
      </c>
      <c r="M13" s="420">
        <f>+'P01 2025'!W6</f>
        <v>16600.356</v>
      </c>
      <c r="N13" s="563">
        <f t="shared" si="1"/>
        <v>0.14309236343294801</v>
      </c>
      <c r="O13" s="420">
        <f t="shared" si="4"/>
        <v>99411.118000000002</v>
      </c>
      <c r="P13" s="228">
        <f t="shared" si="2"/>
        <v>0.85690763656705193</v>
      </c>
      <c r="Q13" s="112">
        <f>+'P01 2024'!X6</f>
        <v>160613.88</v>
      </c>
      <c r="R13" s="112">
        <f>SUMIF(T$3:$AG$3,"SI",T13:AG13)</f>
        <v>22434.928963999999</v>
      </c>
      <c r="S13" s="227">
        <f>IFERROR(R13/Q13,"0,00%")</f>
        <v>0.13968237965485922</v>
      </c>
      <c r="T13" s="422">
        <f>+'P01 2025'!G6</f>
        <v>8300.1779999999999</v>
      </c>
      <c r="U13" s="805">
        <f>+'P01 2024'!K6</f>
        <v>11217.464481999999</v>
      </c>
      <c r="V13" s="805">
        <f>+'P01 2025'!N6</f>
        <v>8300.1779999999999</v>
      </c>
      <c r="W13" s="422">
        <f>+'P01 2024'!Q6</f>
        <v>11217.464481999999</v>
      </c>
      <c r="X13" s="944">
        <f>+'P01 2024'!AE6</f>
        <v>10750.431</v>
      </c>
      <c r="Y13" s="112">
        <f>+'P01 2024'!AT6</f>
        <v>10765.321</v>
      </c>
      <c r="Z13" s="112">
        <f>+'P01 2024'!BI6</f>
        <v>10011.031000000001</v>
      </c>
      <c r="AA13" s="112">
        <f>+'P01 2024'!BX6</f>
        <v>10057.986999999999</v>
      </c>
      <c r="AB13" s="112">
        <f>+'P01 2024'!CM6</f>
        <v>8774.7990000000009</v>
      </c>
      <c r="AC13" s="241">
        <f>+'P01 2024'!DB6</f>
        <v>8769.9689999999991</v>
      </c>
      <c r="AD13" s="112">
        <f>+'P01 2024'!DR6</f>
        <v>8776.7340000000004</v>
      </c>
      <c r="AE13" s="112">
        <f>'P01 2024'!EG6</f>
        <v>8776.3889999999992</v>
      </c>
      <c r="AF13" s="115">
        <f>+'P01 2024'!ET6</f>
        <v>8776.7340000000004</v>
      </c>
      <c r="AG13" s="1086">
        <f>+'P01 2024'!FL6</f>
        <v>9019.8989999999994</v>
      </c>
      <c r="AH13" s="915"/>
      <c r="AI13" s="915"/>
      <c r="AJ13" s="915"/>
      <c r="AK13" s="915"/>
      <c r="AL13" s="916"/>
      <c r="BB13" s="201"/>
      <c r="BE13" s="577"/>
      <c r="BF13" s="577"/>
      <c r="BG13" s="198"/>
      <c r="BH13" s="580"/>
      <c r="BI13" s="201"/>
      <c r="BK13" s="201"/>
      <c r="BL13" s="201"/>
      <c r="BR13" s="198"/>
      <c r="BS13" s="161"/>
      <c r="BT13" s="202"/>
      <c r="BU13" s="202"/>
    </row>
    <row r="14" spans="1:73" ht="15" hidden="1" customHeight="1" x14ac:dyDescent="0.25">
      <c r="B14" s="233" t="s">
        <v>520</v>
      </c>
      <c r="C14" s="964"/>
      <c r="D14" s="304"/>
      <c r="E14" s="419"/>
      <c r="F14" s="419">
        <v>2</v>
      </c>
      <c r="G14" s="418" t="str">
        <f>+CONCATENATE($C$10,"",$D$11,"",$E$12,"00",F14)</f>
        <v>21.01.001.002</v>
      </c>
      <c r="H14" s="812" t="s">
        <v>19</v>
      </c>
      <c r="I14" s="420">
        <f>+'P01 2025'!F7</f>
        <v>16073.669</v>
      </c>
      <c r="J14" s="420">
        <f>+'P01 2025'!U7</f>
        <v>16073.669</v>
      </c>
      <c r="K14" s="420">
        <f ca="1">SUMIF(T$3:$AG4,"ok",T14:AG14)</f>
        <v>2131.1280000000002</v>
      </c>
      <c r="L14" s="563">
        <f t="shared" ca="1" si="0"/>
        <v>0.13258503705656749</v>
      </c>
      <c r="M14" s="420">
        <f>+'P01 2025'!W7</f>
        <v>2131.1280000000002</v>
      </c>
      <c r="N14" s="563">
        <f t="shared" si="1"/>
        <v>0.13258503705656749</v>
      </c>
      <c r="O14" s="420">
        <f t="shared" si="4"/>
        <v>13942.540999999999</v>
      </c>
      <c r="P14" s="228">
        <f t="shared" si="2"/>
        <v>0.86741496294343245</v>
      </c>
      <c r="Q14" s="112">
        <f>+'P01 2024'!X7</f>
        <v>17297.2</v>
      </c>
      <c r="R14" s="112">
        <f>SUMIF(T$3:$AG$3,"SI",T14:AG14)</f>
        <v>3119.6448420000006</v>
      </c>
      <c r="S14" s="227">
        <f>IFERROR(R14/Q14,"0,00%")</f>
        <v>0.18035548192771086</v>
      </c>
      <c r="T14" s="422">
        <f>+'P01 2025'!G7</f>
        <v>1065.5640000000001</v>
      </c>
      <c r="U14" s="805">
        <f>+'P01 2024'!K7</f>
        <v>1576.0958560000001</v>
      </c>
      <c r="V14" s="805">
        <f>+'P01 2025'!N7</f>
        <v>1065.5640000000001</v>
      </c>
      <c r="W14" s="422">
        <f>+'P01 2024'!Q7</f>
        <v>1543.5489860000002</v>
      </c>
      <c r="X14" s="944">
        <f>+'P01 2024'!AE7</f>
        <v>1481.3330000000001</v>
      </c>
      <c r="Y14" s="112">
        <f>+'P01 2024'!AT7</f>
        <v>1523.4860000000001</v>
      </c>
      <c r="Z14" s="112">
        <f>+'P01 2024'!BI7</f>
        <v>1297.1990000000001</v>
      </c>
      <c r="AA14" s="112">
        <f>+'P01 2024'!BX7</f>
        <v>1303.6220000000001</v>
      </c>
      <c r="AB14" s="112">
        <f>+'P01 2024'!CM7</f>
        <v>1225.8820000000001</v>
      </c>
      <c r="AC14" s="241">
        <f>+'P01 2024'!DB7</f>
        <v>1221.0509999999999</v>
      </c>
      <c r="AD14" s="112">
        <f>+'P01 2024'!DR7</f>
        <v>1243.5889999999999</v>
      </c>
      <c r="AE14" s="112">
        <f>'P01 2024'!EG7</f>
        <v>1243.2449999999999</v>
      </c>
      <c r="AF14" s="115">
        <f>+'P01 2024'!ET7</f>
        <v>1243.5889999999999</v>
      </c>
      <c r="AG14" s="1086">
        <f>+'P01 2024'!FL7</f>
        <v>1295.2339999999999</v>
      </c>
      <c r="AH14" s="915"/>
      <c r="AI14" s="915"/>
      <c r="AJ14" s="915"/>
      <c r="AK14" s="915"/>
      <c r="AL14" s="916"/>
      <c r="BB14" s="201"/>
      <c r="BE14" s="577"/>
      <c r="BF14" s="577"/>
      <c r="BG14" s="198"/>
      <c r="BH14" s="580"/>
      <c r="BI14" s="201"/>
      <c r="BK14" s="201"/>
      <c r="BL14" s="201"/>
      <c r="BR14" s="198"/>
      <c r="BS14" s="161"/>
      <c r="BT14" s="202"/>
      <c r="BU14" s="202"/>
    </row>
    <row r="15" spans="1:73" ht="15" hidden="1" customHeight="1" x14ac:dyDescent="0.25">
      <c r="B15" s="233" t="s">
        <v>455</v>
      </c>
      <c r="C15" s="964"/>
      <c r="D15" s="304"/>
      <c r="E15" s="419"/>
      <c r="F15" s="419">
        <v>3</v>
      </c>
      <c r="G15" s="418" t="str">
        <f>+CONCATENATE($C$10,"",$D$11,"",$E$12,"00",F15)</f>
        <v>21.01.001.003</v>
      </c>
      <c r="H15" s="812" t="s">
        <v>20</v>
      </c>
      <c r="I15" s="420">
        <f>+'P01 2025'!F8</f>
        <v>85149.134999999995</v>
      </c>
      <c r="J15" s="420">
        <f>+'P01 2025'!U8</f>
        <v>85149.134999999995</v>
      </c>
      <c r="K15" s="420">
        <f ca="1">SUMIF(T$3:$AG5,"ok",T15:AG15)</f>
        <v>12323.378000000001</v>
      </c>
      <c r="L15" s="563">
        <f t="shared" ca="1" si="0"/>
        <v>0.14472698988662658</v>
      </c>
      <c r="M15" s="420">
        <f>+'P01 2025'!W8</f>
        <v>12323.378000000001</v>
      </c>
      <c r="N15" s="563">
        <f t="shared" si="1"/>
        <v>0.14472698988662658</v>
      </c>
      <c r="O15" s="420">
        <f t="shared" si="4"/>
        <v>72825.756999999998</v>
      </c>
      <c r="P15" s="228">
        <f t="shared" si="2"/>
        <v>0.85527301011337342</v>
      </c>
      <c r="Q15" s="112">
        <f>+'P01 2024'!X8</f>
        <v>91977.34</v>
      </c>
      <c r="R15" s="112">
        <f>SUMIF(T$3:$AG$3,"SI",T15:AG15)</f>
        <v>16270.352763999999</v>
      </c>
      <c r="S15" s="227">
        <f>IFERROR(R15/Q15,"0,00%")</f>
        <v>0.17689523054265321</v>
      </c>
      <c r="T15" s="422">
        <f>+'P01 2025'!G8</f>
        <v>6161.6890000000003</v>
      </c>
      <c r="U15" s="805">
        <f>+'P01 2024'!K8</f>
        <v>8135.1763819999996</v>
      </c>
      <c r="V15" s="805">
        <f>+'P01 2025'!N8</f>
        <v>6161.6890000000003</v>
      </c>
      <c r="W15" s="422">
        <f>+'P01 2024'!Q8</f>
        <v>8135.1763819999996</v>
      </c>
      <c r="X15" s="944">
        <f>+'P01 2024'!AE8</f>
        <v>7807.2709999999997</v>
      </c>
      <c r="Y15" s="112">
        <f>+'P01 2024'!AT8</f>
        <v>7807.2709999999997</v>
      </c>
      <c r="Z15" s="112">
        <f>+'P01 2024'!BI8</f>
        <v>7169.7340000000004</v>
      </c>
      <c r="AA15" s="112">
        <f>+'P01 2024'!BX8</f>
        <v>7203.1030000000001</v>
      </c>
      <c r="AB15" s="112">
        <f>+'P01 2024'!CM8</f>
        <v>6560.4430000000002</v>
      </c>
      <c r="AC15" s="241">
        <f>+'P01 2024'!DB8</f>
        <v>6555.6130000000003</v>
      </c>
      <c r="AD15" s="112">
        <f>+'P01 2024'!DR8</f>
        <v>6562.3779999999997</v>
      </c>
      <c r="AE15" s="112">
        <f>'P01 2024'!EG8</f>
        <v>6562.0330000000004</v>
      </c>
      <c r="AF15" s="115">
        <f>+'P01 2024'!ET8</f>
        <v>6562.3779999999997</v>
      </c>
      <c r="AG15" s="1086">
        <f>+'P01 2024'!FL8</f>
        <v>6742.8310000000001</v>
      </c>
      <c r="AH15" s="915"/>
      <c r="AI15" s="915"/>
      <c r="AJ15" s="915"/>
      <c r="AK15" s="915"/>
      <c r="AL15" s="916"/>
      <c r="BB15" s="201"/>
      <c r="BE15" s="577"/>
      <c r="BF15" s="577"/>
      <c r="BG15" s="198"/>
      <c r="BH15" s="580"/>
      <c r="BI15" s="201"/>
      <c r="BK15" s="201"/>
      <c r="BL15" s="201"/>
      <c r="BR15" s="198"/>
      <c r="BS15" s="161"/>
      <c r="BT15" s="202"/>
      <c r="BU15" s="202"/>
    </row>
    <row r="16" spans="1:73" ht="15" hidden="1" customHeight="1" x14ac:dyDescent="0.25">
      <c r="B16" s="233" t="s">
        <v>975</v>
      </c>
      <c r="C16" s="964"/>
      <c r="D16" s="304"/>
      <c r="E16" s="419"/>
      <c r="F16" s="419">
        <v>4</v>
      </c>
      <c r="G16" s="418" t="str">
        <f>+CONCATENATE($C$10,"",$D$11,"",$E$12,"00",F16)</f>
        <v>21.01.001.004</v>
      </c>
      <c r="H16" s="812" t="s">
        <v>21</v>
      </c>
      <c r="I16" s="420">
        <f>+'P01 2025'!F9</f>
        <v>163.035</v>
      </c>
      <c r="J16" s="420">
        <f>+'P01 2025'!U9</f>
        <v>163.035</v>
      </c>
      <c r="K16" s="436">
        <f ca="1">SUMIF(T$3:$AG6,"ok",T16:AG16)</f>
        <v>0</v>
      </c>
      <c r="L16" s="563">
        <f t="shared" ca="1" si="0"/>
        <v>0</v>
      </c>
      <c r="M16" s="420">
        <f>+'P01 2025'!W9</f>
        <v>0</v>
      </c>
      <c r="N16" s="563">
        <f t="shared" si="1"/>
        <v>0</v>
      </c>
      <c r="O16" s="420">
        <f t="shared" si="4"/>
        <v>163.035</v>
      </c>
      <c r="P16" s="228">
        <f t="shared" si="2"/>
        <v>1</v>
      </c>
      <c r="Q16" s="112">
        <v>0</v>
      </c>
      <c r="R16" s="112">
        <f>SUMIF(T$3:$AG$3,"SI",T16:AG16)</f>
        <v>0</v>
      </c>
      <c r="S16" s="227" t="str">
        <f>IFERROR(R16/Q16,"0,00%")</f>
        <v>0,00%</v>
      </c>
      <c r="T16" s="422">
        <f>+'P01 2025'!G9</f>
        <v>0</v>
      </c>
      <c r="U16" s="805">
        <v>0</v>
      </c>
      <c r="V16" s="805">
        <v>0</v>
      </c>
      <c r="W16" s="422"/>
      <c r="X16" s="944"/>
      <c r="Y16" s="112"/>
      <c r="Z16" s="112"/>
      <c r="AA16" s="112"/>
      <c r="AB16" s="112"/>
      <c r="AC16" s="241"/>
      <c r="AD16" s="112"/>
      <c r="AE16" s="112">
        <f>'P01 2024'!EG9</f>
        <v>163.035</v>
      </c>
      <c r="AF16" s="115">
        <v>0</v>
      </c>
      <c r="AG16" s="1086">
        <v>0</v>
      </c>
      <c r="AH16" s="915"/>
      <c r="AI16" s="915"/>
      <c r="AJ16" s="915"/>
      <c r="AK16" s="915"/>
      <c r="AL16" s="916"/>
      <c r="BB16" s="201"/>
      <c r="BE16" s="577"/>
      <c r="BF16" s="577"/>
      <c r="BG16" s="198"/>
      <c r="BH16" s="580"/>
      <c r="BI16" s="201"/>
      <c r="BK16" s="201"/>
      <c r="BL16" s="201"/>
      <c r="BR16" s="198"/>
      <c r="BS16" s="161"/>
      <c r="BT16" s="202"/>
      <c r="BU16" s="202"/>
    </row>
    <row r="17" spans="1:73" ht="15" hidden="1" customHeight="1" x14ac:dyDescent="0.25">
      <c r="B17" s="233" t="s">
        <v>521</v>
      </c>
      <c r="C17" s="964"/>
      <c r="D17" s="304"/>
      <c r="E17" s="419"/>
      <c r="F17" s="419">
        <v>7</v>
      </c>
      <c r="G17" s="418" t="str">
        <f>+CONCATENATE($C$10,"",$D$11,"",$E$12,"00",F17)</f>
        <v>21.01.001.007</v>
      </c>
      <c r="H17" s="812" t="s">
        <v>128</v>
      </c>
      <c r="I17" s="420">
        <f>+'P01 2025'!F10</f>
        <v>9786.4390000000003</v>
      </c>
      <c r="J17" s="420">
        <f>+'P01 2025'!U10</f>
        <v>9786.4390000000003</v>
      </c>
      <c r="K17" s="421">
        <f ca="1">SUMIF(T$3:$AG7,"ok",T17:AG17)</f>
        <v>1701.01</v>
      </c>
      <c r="L17" s="563">
        <f t="shared" ca="1" si="0"/>
        <v>0.17381296710683017</v>
      </c>
      <c r="M17" s="420">
        <f>+'P01 2025'!W10</f>
        <v>1701.01</v>
      </c>
      <c r="N17" s="563">
        <f t="shared" si="1"/>
        <v>0.17381296710683017</v>
      </c>
      <c r="O17" s="420">
        <f t="shared" si="4"/>
        <v>8085.4290000000001</v>
      </c>
      <c r="P17" s="228">
        <f t="shared" si="2"/>
        <v>0.82618703289316986</v>
      </c>
      <c r="Q17" s="112">
        <f>+'P01 2024'!X9</f>
        <v>10034.460000000001</v>
      </c>
      <c r="R17" s="112">
        <f>SUMIF(T$3:$AG$3,"SI",T17:AG17)</f>
        <v>1691.962088</v>
      </c>
      <c r="S17" s="227">
        <f t="shared" ref="S17:S48" si="5">IFERROR(R17/Q17,"0,00%")</f>
        <v>0.16861516095534784</v>
      </c>
      <c r="T17" s="422">
        <f>+'P01 2025'!G10</f>
        <v>850.505</v>
      </c>
      <c r="U17" s="805">
        <f>+'P01 2024'!K9</f>
        <v>845.981044</v>
      </c>
      <c r="V17" s="805">
        <f>+'P01 2025'!N9</f>
        <v>850.505</v>
      </c>
      <c r="W17" s="422">
        <f>+'P01 2024'!Q9</f>
        <v>845.981044</v>
      </c>
      <c r="X17" s="944">
        <f>+'P01 2024'!AE9</f>
        <v>811.88199999999995</v>
      </c>
      <c r="Y17" s="112">
        <f>+'P01 2024'!AT9</f>
        <v>811.88199999999995</v>
      </c>
      <c r="Z17" s="112">
        <f>+'P01 2024'!BI9</f>
        <v>811.88199999999995</v>
      </c>
      <c r="AA17" s="112">
        <f>+'P01 2024'!BX9</f>
        <v>815.94200000000001</v>
      </c>
      <c r="AB17" s="112">
        <f>+'P01 2024'!CM9</f>
        <v>814.00800000000004</v>
      </c>
      <c r="AC17" s="241">
        <f>+'P01 2024'!DB9</f>
        <v>809.17700000000002</v>
      </c>
      <c r="AD17" s="112">
        <f>+'P01 2024'!DR9</f>
        <v>815.94200000000001</v>
      </c>
      <c r="AE17" s="112">
        <f>'P01 2024'!EG10</f>
        <v>815.59799999999996</v>
      </c>
      <c r="AF17" s="115">
        <f>+'P01 2024'!ET9</f>
        <v>815.94200000000001</v>
      </c>
      <c r="AG17" s="1086">
        <f>+'P01 2024'!FL9</f>
        <v>838.88199999999995</v>
      </c>
      <c r="AH17" s="915"/>
      <c r="AI17" s="915"/>
      <c r="AJ17" s="915"/>
      <c r="AK17" s="915"/>
      <c r="AL17" s="916"/>
      <c r="BB17" s="201"/>
      <c r="BE17" s="577"/>
      <c r="BF17" s="577"/>
      <c r="BG17" s="198"/>
      <c r="BH17" s="580"/>
      <c r="BI17" s="201"/>
      <c r="BK17" s="201"/>
      <c r="BL17" s="201"/>
      <c r="BR17" s="198"/>
      <c r="BS17" s="161"/>
      <c r="BT17" s="202"/>
      <c r="BU17" s="202"/>
    </row>
    <row r="18" spans="1:73" ht="15" hidden="1" customHeight="1" x14ac:dyDescent="0.25">
      <c r="B18" s="233" t="s">
        <v>522</v>
      </c>
      <c r="C18" s="964"/>
      <c r="D18" s="304"/>
      <c r="E18" s="419"/>
      <c r="F18" s="419">
        <v>12</v>
      </c>
      <c r="G18" s="418" t="str">
        <f t="shared" ref="G18:G25" si="6">+CONCATENATE($C$10,"",$D$11,"",$E$12,"0",F18)</f>
        <v>21.01.001.012</v>
      </c>
      <c r="H18" s="812" t="s">
        <v>22</v>
      </c>
      <c r="I18" s="420">
        <f>+'P01 2025'!F11</f>
        <v>2224.8789999999999</v>
      </c>
      <c r="J18" s="420">
        <f>+'P01 2025'!U11</f>
        <v>2224.8789999999999</v>
      </c>
      <c r="K18" s="421">
        <f ca="1">SUMIF(T$3:$AG8,"ok",T18:AG18)</f>
        <v>371.97</v>
      </c>
      <c r="L18" s="563">
        <f t="shared" ca="1" si="0"/>
        <v>0.16718662003641549</v>
      </c>
      <c r="M18" s="420">
        <f>+'P01 2025'!W11</f>
        <v>371.97</v>
      </c>
      <c r="N18" s="563">
        <f t="shared" si="1"/>
        <v>0.16718662003641549</v>
      </c>
      <c r="O18" s="420">
        <f t="shared" si="4"/>
        <v>1852.9089999999999</v>
      </c>
      <c r="P18" s="228">
        <f t="shared" si="2"/>
        <v>0.83281337996358451</v>
      </c>
      <c r="Q18" s="112">
        <f>+'P01 2024'!X10</f>
        <v>2292.4</v>
      </c>
      <c r="R18" s="112">
        <f>SUMIF(T$3:$AG$3,"SI",T18:AG18)</f>
        <v>387.59274000000005</v>
      </c>
      <c r="S18" s="227">
        <f t="shared" si="5"/>
        <v>0.16907727272727274</v>
      </c>
      <c r="T18" s="422">
        <f>+'P01 2025'!G11</f>
        <v>185.98500000000001</v>
      </c>
      <c r="U18" s="805">
        <f>+'P01 2024'!K10</f>
        <v>193.79637000000002</v>
      </c>
      <c r="V18" s="805">
        <f>+'P01 2025'!N10</f>
        <v>185.98500000000001</v>
      </c>
      <c r="W18" s="422">
        <f>+'P01 2024'!Q10</f>
        <v>193.79637000000002</v>
      </c>
      <c r="X18" s="944">
        <f>+'P01 2024'!AE10</f>
        <v>185.98500000000001</v>
      </c>
      <c r="Y18" s="112">
        <f>+'P01 2024'!AT10</f>
        <v>185.98500000000001</v>
      </c>
      <c r="Z18" s="112">
        <f>+'P01 2024'!BI10</f>
        <v>185.98500000000001</v>
      </c>
      <c r="AA18" s="112">
        <f>+'P01 2024'!BX10</f>
        <v>185.98500000000001</v>
      </c>
      <c r="AB18" s="112">
        <f>+'P01 2024'!CM10</f>
        <v>184.05099999999999</v>
      </c>
      <c r="AC18" s="241">
        <f>+'P01 2024'!DB10</f>
        <v>181.322</v>
      </c>
      <c r="AD18" s="112">
        <f>+'P01 2024'!DR10</f>
        <v>185.98500000000001</v>
      </c>
      <c r="AE18" s="112">
        <f>'P01 2024'!EG11</f>
        <v>185.64099999999999</v>
      </c>
      <c r="AF18" s="115">
        <f>+'P01 2024'!ET10</f>
        <v>185.98500000000001</v>
      </c>
      <c r="AG18" s="1086">
        <f>+'P01 2024'!FL10</f>
        <v>184.447</v>
      </c>
      <c r="AH18" s="915"/>
      <c r="AI18" s="915"/>
      <c r="AJ18" s="915"/>
      <c r="AK18" s="915"/>
      <c r="AL18" s="916"/>
      <c r="BB18" s="201"/>
      <c r="BE18" s="577"/>
      <c r="BF18" s="577"/>
      <c r="BG18" s="198"/>
      <c r="BH18" s="580"/>
      <c r="BI18" s="201"/>
      <c r="BK18" s="201"/>
      <c r="BL18" s="201"/>
      <c r="BR18" s="198"/>
      <c r="BS18" s="161"/>
      <c r="BT18" s="202"/>
      <c r="BU18" s="202"/>
    </row>
    <row r="19" spans="1:73" ht="15" hidden="1" customHeight="1" x14ac:dyDescent="0.25">
      <c r="B19" s="233" t="s">
        <v>523</v>
      </c>
      <c r="C19" s="964"/>
      <c r="D19" s="304"/>
      <c r="E19" s="419"/>
      <c r="F19" s="419">
        <v>13</v>
      </c>
      <c r="G19" s="418" t="str">
        <f t="shared" si="6"/>
        <v>21.01.001.013</v>
      </c>
      <c r="H19" s="812" t="s">
        <v>23</v>
      </c>
      <c r="I19" s="420">
        <f>+'P01 2025'!F12</f>
        <v>53254.192000000003</v>
      </c>
      <c r="J19" s="420">
        <f>+'P01 2025'!U12</f>
        <v>53254.192000000003</v>
      </c>
      <c r="K19" s="421">
        <f ca="1">SUMIF(T$3:$AG9,"ok",T19:AG19)</f>
        <v>7738.2860000000001</v>
      </c>
      <c r="L19" s="563">
        <f t="shared" ca="1" si="0"/>
        <v>0.14530848576202227</v>
      </c>
      <c r="M19" s="420">
        <f>+'P01 2025'!W12</f>
        <v>7738.2860000000001</v>
      </c>
      <c r="N19" s="563">
        <f t="shared" si="1"/>
        <v>0.14530848576202227</v>
      </c>
      <c r="O19" s="420">
        <f t="shared" si="4"/>
        <v>45515.906000000003</v>
      </c>
      <c r="P19" s="228">
        <f t="shared" si="2"/>
        <v>0.85469151423797773</v>
      </c>
      <c r="Q19" s="112">
        <f>+'P01 2024'!X11</f>
        <v>54163.16</v>
      </c>
      <c r="R19" s="112">
        <f>SUMIF(T$3:$AG$3,"SI",T19:AG19)</f>
        <v>8028.2411320000001</v>
      </c>
      <c r="S19" s="227">
        <f t="shared" si="5"/>
        <v>0.1482232781839169</v>
      </c>
      <c r="T19" s="422">
        <f>+'P01 2025'!G12</f>
        <v>3869.143</v>
      </c>
      <c r="U19" s="805">
        <f>+'P01 2024'!K11</f>
        <v>4014.1205660000001</v>
      </c>
      <c r="V19" s="805">
        <f>+'P01 2025'!N11</f>
        <v>3869.143</v>
      </c>
      <c r="W19" s="422">
        <f>+'P01 2024'!Q11</f>
        <v>4014.1205660000001</v>
      </c>
      <c r="X19" s="944">
        <f>+'P01 2024'!AE11</f>
        <v>5573.3180000000002</v>
      </c>
      <c r="Y19" s="112">
        <f>+'P01 2024'!AT11</f>
        <v>3869.143</v>
      </c>
      <c r="Z19" s="112">
        <f>+'P01 2024'!BI11</f>
        <v>3869.143</v>
      </c>
      <c r="AA19" s="112">
        <f>+'P01 2024'!BX11</f>
        <v>5590.1379999999999</v>
      </c>
      <c r="AB19" s="112">
        <f>+'P01 2024'!CM11</f>
        <v>3867.2089999999998</v>
      </c>
      <c r="AC19" s="241">
        <f>+'P01 2024'!DB11</f>
        <v>3862.3780000000002</v>
      </c>
      <c r="AD19" s="112">
        <f>+'P01 2024'!DR11</f>
        <v>5590.1379999999999</v>
      </c>
      <c r="AE19" s="112">
        <f>'P01 2024'!EG12</f>
        <v>3868.7979999999998</v>
      </c>
      <c r="AF19" s="115">
        <f>+'P01 2024'!ET11</f>
        <v>3869.143</v>
      </c>
      <c r="AG19" s="1086">
        <f>+'P01 2024'!FL11</f>
        <v>5588.6</v>
      </c>
      <c r="AH19" s="915"/>
      <c r="AI19" s="915"/>
      <c r="AJ19" s="915"/>
      <c r="AK19" s="915"/>
      <c r="AL19" s="916"/>
      <c r="BB19" s="201"/>
      <c r="BE19" s="577"/>
      <c r="BF19" s="577"/>
      <c r="BG19" s="198"/>
      <c r="BH19" s="580"/>
      <c r="BI19" s="201"/>
      <c r="BK19" s="201"/>
      <c r="BL19" s="201"/>
      <c r="BR19" s="198"/>
      <c r="BS19" s="161"/>
      <c r="BT19" s="202"/>
      <c r="BU19" s="202"/>
    </row>
    <row r="20" spans="1:73" ht="15" hidden="1" customHeight="1" x14ac:dyDescent="0.25">
      <c r="B20" s="233" t="s">
        <v>524</v>
      </c>
      <c r="C20" s="964"/>
      <c r="D20" s="304"/>
      <c r="E20" s="419"/>
      <c r="F20" s="419">
        <v>14</v>
      </c>
      <c r="G20" s="418" t="str">
        <f t="shared" si="6"/>
        <v>21.01.001.014</v>
      </c>
      <c r="H20" s="812" t="s">
        <v>24</v>
      </c>
      <c r="I20" s="420">
        <f>+'P01 2025'!F13</f>
        <v>78237.198999999993</v>
      </c>
      <c r="J20" s="420">
        <f>+'P01 2025'!U13</f>
        <v>78237.198999999993</v>
      </c>
      <c r="K20" s="421">
        <f ca="1">SUMIF(T$3:$AG10,"ok",T20:AG20)</f>
        <v>10732.698</v>
      </c>
      <c r="L20" s="563">
        <f t="shared" ca="1" si="0"/>
        <v>0.13718152154194582</v>
      </c>
      <c r="M20" s="420">
        <f>+'P01 2025'!W13</f>
        <v>10732.698</v>
      </c>
      <c r="N20" s="563">
        <f t="shared" si="1"/>
        <v>0.13718152154194582</v>
      </c>
      <c r="O20" s="420">
        <f t="shared" si="4"/>
        <v>67504.500999999989</v>
      </c>
      <c r="P20" s="228">
        <f t="shared" si="2"/>
        <v>0.86281847845805415</v>
      </c>
      <c r="Q20" s="112">
        <f>+'P01 2024'!X12</f>
        <v>83016.14</v>
      </c>
      <c r="R20" s="112">
        <f>SUMIF(T$3:$AG$3,"SI",T20:AG20)</f>
        <v>14523.095904000002</v>
      </c>
      <c r="S20" s="227">
        <f t="shared" si="5"/>
        <v>0.1749430400401657</v>
      </c>
      <c r="T20" s="422">
        <f>+'P01 2025'!G13</f>
        <v>5366.3490000000002</v>
      </c>
      <c r="U20" s="805">
        <f>+'P01 2024'!K12</f>
        <v>7263.6715480000003</v>
      </c>
      <c r="V20" s="805">
        <f>+'P01 2025'!N12</f>
        <v>5366.3490000000002</v>
      </c>
      <c r="W20" s="422">
        <f>+'P01 2024'!Q12</f>
        <v>7259.4243560000004</v>
      </c>
      <c r="X20" s="944">
        <f>+'P01 2024'!AE12</f>
        <v>7796.0720000000001</v>
      </c>
      <c r="Y20" s="112">
        <f>+'P01 2024'!AT12</f>
        <v>6972.3190000000004</v>
      </c>
      <c r="Z20" s="112">
        <f>+'P01 2024'!BI12</f>
        <v>6397.1610000000001</v>
      </c>
      <c r="AA20" s="112">
        <f>+'P01 2024'!BX12</f>
        <v>7273.0820000000003</v>
      </c>
      <c r="AB20" s="112">
        <f>+'P01 2024'!CM12</f>
        <v>5715.2280000000001</v>
      </c>
      <c r="AC20" s="241">
        <f>+'P01 2024'!DB12</f>
        <v>5710.3980000000001</v>
      </c>
      <c r="AD20" s="112">
        <f>+'P01 2024'!DR12</f>
        <v>6402.7169999999996</v>
      </c>
      <c r="AE20" s="112">
        <f>'P01 2024'!EG13</f>
        <v>5718.8760000000002</v>
      </c>
      <c r="AF20" s="115">
        <f>+'P01 2024'!ET12</f>
        <v>5719.2209999999995</v>
      </c>
      <c r="AG20" s="1086">
        <f>+'P01 2024'!FL12</f>
        <v>6592.875</v>
      </c>
      <c r="AH20" s="915"/>
      <c r="AI20" s="915"/>
      <c r="AJ20" s="915"/>
      <c r="AK20" s="915"/>
      <c r="AL20" s="916"/>
      <c r="BB20" s="201"/>
      <c r="BE20" s="577"/>
      <c r="BF20" s="577"/>
      <c r="BG20" s="198"/>
      <c r="BH20" s="580"/>
      <c r="BI20" s="201"/>
      <c r="BK20" s="201"/>
      <c r="BL20" s="201"/>
      <c r="BR20" s="198"/>
      <c r="BS20" s="161"/>
      <c r="BT20" s="202"/>
      <c r="BU20" s="202"/>
    </row>
    <row r="21" spans="1:73" ht="15" hidden="1" customHeight="1" x14ac:dyDescent="0.25">
      <c r="B21" s="233" t="s">
        <v>525</v>
      </c>
      <c r="C21" s="964"/>
      <c r="D21" s="304"/>
      <c r="E21" s="419"/>
      <c r="F21" s="419">
        <v>15</v>
      </c>
      <c r="G21" s="418" t="str">
        <f t="shared" si="6"/>
        <v>21.01.001.015</v>
      </c>
      <c r="H21" s="812" t="s">
        <v>25</v>
      </c>
      <c r="I21" s="420">
        <f>+'P01 2025'!F14</f>
        <v>193572.617</v>
      </c>
      <c r="J21" s="420">
        <f>+'P01 2025'!U14</f>
        <v>193572.617</v>
      </c>
      <c r="K21" s="421">
        <f ca="1">SUMIF(T$3:$AG11,"ok",T21:AG21)</f>
        <v>27884.982</v>
      </c>
      <c r="L21" s="563">
        <f t="shared" ca="1" si="0"/>
        <v>0.14405437314514377</v>
      </c>
      <c r="M21" s="420">
        <f>+'P01 2025'!W14</f>
        <v>27884.982</v>
      </c>
      <c r="N21" s="563">
        <f t="shared" si="1"/>
        <v>0.14405437314514377</v>
      </c>
      <c r="O21" s="420">
        <f t="shared" si="4"/>
        <v>165687.63500000001</v>
      </c>
      <c r="P21" s="228">
        <f t="shared" si="2"/>
        <v>0.85594562685485631</v>
      </c>
      <c r="Q21" s="112">
        <f>+'P01 2024'!X13</f>
        <v>204065.28</v>
      </c>
      <c r="R21" s="112">
        <f>SUMIF(T$3:$AG$3,"SI",T21:AG21)</f>
        <v>37034.505583999999</v>
      </c>
      <c r="S21" s="227">
        <f t="shared" si="5"/>
        <v>0.18148361928104575</v>
      </c>
      <c r="T21" s="422">
        <f>+'P01 2025'!G14</f>
        <v>13942.491</v>
      </c>
      <c r="U21" s="805">
        <f>+'P01 2024'!K13</f>
        <v>18517.252791999999</v>
      </c>
      <c r="V21" s="805">
        <f>+'P01 2025'!N13</f>
        <v>13942.491</v>
      </c>
      <c r="W21" s="422">
        <f>+'P01 2024'!Q13</f>
        <v>18517.252791999999</v>
      </c>
      <c r="X21" s="944">
        <f>+'P01 2024'!AE13</f>
        <v>17770.876</v>
      </c>
      <c r="Y21" s="112">
        <f>+'P01 2024'!AT13</f>
        <v>17770.876</v>
      </c>
      <c r="Z21" s="112">
        <f>+'P01 2024'!BI13</f>
        <v>16478.164000000001</v>
      </c>
      <c r="AA21" s="112">
        <f>+'P01 2024'!BX13</f>
        <v>16552.856</v>
      </c>
      <c r="AB21" s="112">
        <f>+'P01 2024'!CM13</f>
        <v>14842.731</v>
      </c>
      <c r="AC21" s="241">
        <f>+'P01 2024'!DB13</f>
        <v>14837.901</v>
      </c>
      <c r="AD21" s="112">
        <f>+'P01 2024'!DR13</f>
        <v>14844.665999999999</v>
      </c>
      <c r="AE21" s="112">
        <f>'P01 2024'!EG14</f>
        <v>14844.321</v>
      </c>
      <c r="AF21" s="115">
        <f>+'P01 2024'!ET13</f>
        <v>14844.665999999999</v>
      </c>
      <c r="AG21" s="1086">
        <f>+'P01 2024'!FL13</f>
        <v>15242.27</v>
      </c>
      <c r="AH21" s="915"/>
      <c r="AI21" s="915"/>
      <c r="AJ21" s="915"/>
      <c r="AK21" s="915"/>
      <c r="AL21" s="916"/>
      <c r="BB21" s="201"/>
      <c r="BE21" s="577"/>
      <c r="BF21" s="577"/>
      <c r="BG21" s="198"/>
      <c r="BH21" s="580"/>
      <c r="BI21" s="201"/>
      <c r="BK21" s="201"/>
      <c r="BL21" s="201"/>
      <c r="BR21" s="198"/>
      <c r="BS21" s="161"/>
      <c r="BT21" s="202"/>
      <c r="BU21" s="202"/>
    </row>
    <row r="22" spans="1:73" ht="15" hidden="1" customHeight="1" x14ac:dyDescent="0.25">
      <c r="B22" s="233" t="s">
        <v>526</v>
      </c>
      <c r="C22" s="964"/>
      <c r="D22" s="304"/>
      <c r="E22" s="419"/>
      <c r="F22" s="419">
        <v>22</v>
      </c>
      <c r="G22" s="418" t="str">
        <f t="shared" si="6"/>
        <v>21.01.001.022</v>
      </c>
      <c r="H22" s="812" t="s">
        <v>26</v>
      </c>
      <c r="I22" s="420">
        <f>+'P01 2025'!F15</f>
        <v>62483.360999999997</v>
      </c>
      <c r="J22" s="420">
        <f>+'P01 2025'!U15</f>
        <v>62483.360999999997</v>
      </c>
      <c r="K22" s="421">
        <f ca="1">SUMIF(T$3:$AG12,"ok",T22:AG22)</f>
        <v>0</v>
      </c>
      <c r="L22" s="563">
        <f t="shared" ca="1" si="0"/>
        <v>0</v>
      </c>
      <c r="M22" s="420">
        <f>+'P01 2025'!W15</f>
        <v>0</v>
      </c>
      <c r="N22" s="563">
        <f t="shared" si="1"/>
        <v>0</v>
      </c>
      <c r="O22" s="420">
        <f t="shared" si="4"/>
        <v>62483.360999999997</v>
      </c>
      <c r="P22" s="228">
        <f t="shared" si="2"/>
        <v>1</v>
      </c>
      <c r="Q22" s="112">
        <f>+'P01 2024'!X14</f>
        <v>65781.460000000006</v>
      </c>
      <c r="R22" s="112">
        <f>SUMIF(T$3:$AG$3,"SI",T22:AG22)</f>
        <v>0</v>
      </c>
      <c r="S22" s="227">
        <f t="shared" si="5"/>
        <v>0</v>
      </c>
      <c r="T22" s="422">
        <f>+'P01 2025'!G15</f>
        <v>0</v>
      </c>
      <c r="U22" s="805">
        <f>+'P01 2024'!K14</f>
        <v>0</v>
      </c>
      <c r="V22" s="805">
        <v>0</v>
      </c>
      <c r="W22" s="422">
        <v>0</v>
      </c>
      <c r="X22" s="944">
        <f>+'P01 2024'!AE14</f>
        <v>17169.083999999999</v>
      </c>
      <c r="Y22" s="112">
        <v>0</v>
      </c>
      <c r="Z22" s="112">
        <v>0</v>
      </c>
      <c r="AA22" s="112">
        <f>+'P01 2024'!BX14</f>
        <v>16388.330999999998</v>
      </c>
      <c r="AB22" s="112">
        <f>+'P01 2024'!CM14</f>
        <v>-1.9350000000000001</v>
      </c>
      <c r="AC22" s="241">
        <f>+'P01 2024'!DB14</f>
        <v>-6.7649999999999997</v>
      </c>
      <c r="AD22" s="112">
        <f>+'P01 2024'!DR14</f>
        <v>14401.293</v>
      </c>
      <c r="AE22" s="112">
        <v>0</v>
      </c>
      <c r="AF22" s="115">
        <v>0</v>
      </c>
      <c r="AG22" s="1086">
        <f>+'P01 2024'!FL14</f>
        <v>14531.815000000001</v>
      </c>
      <c r="AH22" s="915"/>
      <c r="AI22" s="915"/>
      <c r="AJ22" s="915"/>
      <c r="AK22" s="915"/>
      <c r="AL22" s="916"/>
      <c r="BB22" s="201"/>
      <c r="BE22" s="577"/>
      <c r="BF22" s="577"/>
      <c r="BG22" s="198"/>
      <c r="BH22" s="580"/>
      <c r="BI22" s="201"/>
      <c r="BK22" s="201"/>
      <c r="BL22" s="201"/>
      <c r="BR22" s="198"/>
      <c r="BS22" s="161"/>
      <c r="BT22" s="202"/>
      <c r="BU22" s="202"/>
    </row>
    <row r="23" spans="1:73" ht="15" hidden="1" customHeight="1" x14ac:dyDescent="0.25">
      <c r="B23" s="233" t="s">
        <v>527</v>
      </c>
      <c r="C23" s="964"/>
      <c r="D23" s="304"/>
      <c r="E23" s="419"/>
      <c r="F23" s="419">
        <v>39</v>
      </c>
      <c r="G23" s="418" t="str">
        <f t="shared" si="6"/>
        <v>21.01.001.039</v>
      </c>
      <c r="H23" s="812" t="s">
        <v>27</v>
      </c>
      <c r="I23" s="420">
        <f>+'P01 2025'!F16</f>
        <v>12034.025</v>
      </c>
      <c r="J23" s="420">
        <f>+'P01 2025'!U16</f>
        <v>12034.025</v>
      </c>
      <c r="K23" s="421">
        <f ca="1">SUMIF(T$3:$AG13,"ok",T23:AG23)</f>
        <v>2091.3119999999999</v>
      </c>
      <c r="L23" s="563">
        <f t="shared" ca="1" si="0"/>
        <v>0.17378325207069123</v>
      </c>
      <c r="M23" s="420">
        <f>+'P01 2025'!W16</f>
        <v>2091.3119999999999</v>
      </c>
      <c r="N23" s="563">
        <f t="shared" si="1"/>
        <v>0.17378325207069123</v>
      </c>
      <c r="O23" s="420">
        <f t="shared" si="4"/>
        <v>9942.7129999999997</v>
      </c>
      <c r="P23" s="228">
        <f t="shared" si="2"/>
        <v>0.82621674792930877</v>
      </c>
      <c r="Q23" s="112">
        <f>+'P01 2024'!X15</f>
        <v>11649.560000000001</v>
      </c>
      <c r="R23" s="112">
        <f>SUMIF(T$3:$AG$3,"SI",T23:AG23)</f>
        <v>2080.1841960000002</v>
      </c>
      <c r="S23" s="227">
        <f t="shared" si="5"/>
        <v>0.17856332737030411</v>
      </c>
      <c r="T23" s="422">
        <f>+'P01 2025'!G16</f>
        <v>1045.6559999999999</v>
      </c>
      <c r="U23" s="805">
        <f>+'P01 2024'!K15</f>
        <v>1040.0920980000001</v>
      </c>
      <c r="V23" s="805">
        <f>+'P01 2025'!N14</f>
        <v>1045.6559999999999</v>
      </c>
      <c r="W23" s="422">
        <f>+'P01 2024'!Q14</f>
        <v>1040.0920980000001</v>
      </c>
      <c r="X23" s="944">
        <f>+'P01 2024'!AE15</f>
        <v>998.16899999999998</v>
      </c>
      <c r="Y23" s="112">
        <f>+'P01 2024'!AT14</f>
        <v>998.16899999999998</v>
      </c>
      <c r="Z23" s="112">
        <f>+'P01 2024'!BI14</f>
        <v>998.16899999999998</v>
      </c>
      <c r="AA23" s="112">
        <f>+'P01 2024'!BX15</f>
        <v>1003.1609999999999</v>
      </c>
      <c r="AB23" s="112">
        <f>+'P01 2024'!CM15</f>
        <v>1001.227</v>
      </c>
      <c r="AC23" s="241">
        <f>+'P01 2024'!DB15</f>
        <v>996.39599999999996</v>
      </c>
      <c r="AD23" s="112">
        <f>+'P01 2024'!DR15</f>
        <v>1003.1609999999999</v>
      </c>
      <c r="AE23" s="112">
        <f>'P01 2024'!EG15</f>
        <v>1002.817</v>
      </c>
      <c r="AF23" s="115">
        <f>+'P01 2024'!ET14</f>
        <v>1003.1609999999999</v>
      </c>
      <c r="AG23" s="1086">
        <f>+'P01 2024'!FL15</f>
        <v>1031.7190000000001</v>
      </c>
      <c r="AH23" s="915"/>
      <c r="AI23" s="915"/>
      <c r="AJ23" s="915"/>
      <c r="AK23" s="915"/>
      <c r="AL23" s="916"/>
      <c r="BB23" s="201"/>
      <c r="BE23" s="577"/>
      <c r="BF23" s="577"/>
      <c r="BG23" s="198"/>
      <c r="BH23" s="580"/>
      <c r="BI23" s="201"/>
      <c r="BK23" s="201"/>
      <c r="BL23" s="201"/>
      <c r="BR23" s="198"/>
      <c r="BS23" s="161"/>
      <c r="BT23" s="202"/>
      <c r="BU23" s="202"/>
    </row>
    <row r="24" spans="1:73" ht="15" hidden="1" customHeight="1" x14ac:dyDescent="0.25">
      <c r="B24" s="233" t="s">
        <v>825</v>
      </c>
      <c r="C24" s="964"/>
      <c r="D24" s="304"/>
      <c r="E24" s="419"/>
      <c r="F24" s="419">
        <v>998</v>
      </c>
      <c r="G24" s="418" t="str">
        <f t="shared" si="6"/>
        <v>21.01.001.0998</v>
      </c>
      <c r="H24" s="896" t="s">
        <v>832</v>
      </c>
      <c r="I24" s="436">
        <v>0</v>
      </c>
      <c r="J24" s="436">
        <v>0</v>
      </c>
      <c r="K24" s="429">
        <f ca="1">SUMIF(T$3:$AG14,"ok",T24:AG24)</f>
        <v>0</v>
      </c>
      <c r="L24" s="564">
        <f t="shared" ca="1" si="0"/>
        <v>0</v>
      </c>
      <c r="M24" s="436">
        <v>0</v>
      </c>
      <c r="N24" s="564">
        <f t="shared" si="1"/>
        <v>0</v>
      </c>
      <c r="O24" s="436">
        <f t="shared" si="4"/>
        <v>0</v>
      </c>
      <c r="P24" s="228">
        <f t="shared" si="2"/>
        <v>0</v>
      </c>
      <c r="Q24" s="112">
        <f>+'P01 2024'!X16</f>
        <v>18078.7</v>
      </c>
      <c r="R24" s="112">
        <f>SUMIF(T$3:$AG$3,"SI",T24:AG24)</f>
        <v>0</v>
      </c>
      <c r="S24" s="227">
        <f t="shared" si="5"/>
        <v>0</v>
      </c>
      <c r="T24" s="422">
        <v>0</v>
      </c>
      <c r="U24" s="805">
        <v>0</v>
      </c>
      <c r="V24" s="805">
        <v>0</v>
      </c>
      <c r="W24" s="422">
        <v>0</v>
      </c>
      <c r="X24" s="944">
        <v>0</v>
      </c>
      <c r="Y24" s="112">
        <v>0</v>
      </c>
      <c r="Z24" s="112">
        <v>0</v>
      </c>
      <c r="AA24" s="112">
        <v>0</v>
      </c>
      <c r="AB24" s="112">
        <v>0</v>
      </c>
      <c r="AC24" s="241">
        <v>0</v>
      </c>
      <c r="AD24" s="112">
        <v>0</v>
      </c>
      <c r="AE24" s="112">
        <v>0</v>
      </c>
      <c r="AF24" s="115">
        <v>0</v>
      </c>
      <c r="AG24" s="1086">
        <v>0</v>
      </c>
      <c r="AH24" s="915"/>
      <c r="AI24" s="915"/>
      <c r="AJ24" s="915"/>
      <c r="AK24" s="915"/>
      <c r="AL24" s="916"/>
      <c r="BB24" s="201"/>
      <c r="BE24" s="577"/>
      <c r="BF24" s="577"/>
      <c r="BG24" s="198"/>
      <c r="BH24" s="580"/>
      <c r="BI24" s="201"/>
      <c r="BK24" s="201"/>
      <c r="BL24" s="201"/>
      <c r="BR24" s="198"/>
      <c r="BS24" s="161"/>
      <c r="BT24" s="202"/>
      <c r="BU24" s="202"/>
    </row>
    <row r="25" spans="1:73" ht="15" hidden="1" customHeight="1" x14ac:dyDescent="0.25">
      <c r="B25" s="233" t="s">
        <v>772</v>
      </c>
      <c r="C25" s="964"/>
      <c r="D25" s="304"/>
      <c r="E25" s="419"/>
      <c r="F25" s="419">
        <v>999</v>
      </c>
      <c r="G25" s="418" t="str">
        <f t="shared" si="6"/>
        <v>21.01.001.0999</v>
      </c>
      <c r="H25" s="896" t="s">
        <v>775</v>
      </c>
      <c r="I25" s="342">
        <v>0</v>
      </c>
      <c r="J25" s="460">
        <v>0</v>
      </c>
      <c r="K25" s="436">
        <f ca="1">SUMIF(T$3:$AG15,"ok",T25:AG25)</f>
        <v>0</v>
      </c>
      <c r="L25" s="565">
        <f t="shared" ca="1" si="0"/>
        <v>0</v>
      </c>
      <c r="M25" s="436">
        <v>0</v>
      </c>
      <c r="N25" s="565">
        <f t="shared" si="1"/>
        <v>0</v>
      </c>
      <c r="O25" s="436">
        <f t="shared" si="4"/>
        <v>0</v>
      </c>
      <c r="P25" s="228">
        <f t="shared" si="2"/>
        <v>0</v>
      </c>
      <c r="Q25" s="112">
        <v>0</v>
      </c>
      <c r="R25" s="112">
        <f>SUMIF(T$3:$AG$3,"SI",T25:AG25)</f>
        <v>0</v>
      </c>
      <c r="S25" s="227" t="str">
        <f t="shared" si="5"/>
        <v>0,00%</v>
      </c>
      <c r="T25" s="422">
        <v>0</v>
      </c>
      <c r="U25" s="805">
        <v>0</v>
      </c>
      <c r="V25" s="805">
        <v>0</v>
      </c>
      <c r="W25" s="422">
        <v>0</v>
      </c>
      <c r="X25" s="944">
        <v>0</v>
      </c>
      <c r="Y25" s="112">
        <v>0</v>
      </c>
      <c r="Z25" s="112">
        <v>0</v>
      </c>
      <c r="AA25" s="112">
        <v>0</v>
      </c>
      <c r="AB25" s="112">
        <v>0</v>
      </c>
      <c r="AC25" s="241">
        <v>0</v>
      </c>
      <c r="AD25" s="112">
        <v>0</v>
      </c>
      <c r="AE25" s="112">
        <v>0</v>
      </c>
      <c r="AF25" s="115">
        <v>0</v>
      </c>
      <c r="AG25" s="1086">
        <v>0</v>
      </c>
      <c r="AH25" s="915"/>
      <c r="AI25" s="915"/>
      <c r="AJ25" s="915"/>
      <c r="AK25" s="915"/>
      <c r="AL25" s="916"/>
      <c r="BB25" s="201"/>
      <c r="BE25" s="577"/>
      <c r="BF25" s="577"/>
      <c r="BG25" s="198"/>
      <c r="BH25" s="580"/>
      <c r="BI25" s="201"/>
      <c r="BK25" s="201"/>
      <c r="BL25" s="201"/>
      <c r="BR25" s="198"/>
      <c r="BS25" s="161"/>
      <c r="BT25" s="202"/>
      <c r="BU25" s="202"/>
    </row>
    <row r="26" spans="1:73" s="417" customFormat="1" ht="15" hidden="1" customHeight="1" x14ac:dyDescent="0.25">
      <c r="A26" s="107"/>
      <c r="B26" s="233" t="s">
        <v>344</v>
      </c>
      <c r="C26" s="961"/>
      <c r="D26" s="238"/>
      <c r="E26" s="47" t="s">
        <v>156</v>
      </c>
      <c r="F26" s="47"/>
      <c r="G26" s="47"/>
      <c r="H26" s="618" t="s">
        <v>28</v>
      </c>
      <c r="I26" s="195">
        <f>+'P01 2025'!F17</f>
        <v>19540.34</v>
      </c>
      <c r="J26" s="415">
        <f>+'P01 2025'!U17</f>
        <v>19540.34</v>
      </c>
      <c r="K26" s="415">
        <f ca="1">SUMIF(T$3:$AG18,"ok",T26:AG26)</f>
        <v>2438.2159999999999</v>
      </c>
      <c r="L26" s="562">
        <f t="shared" ca="1" si="0"/>
        <v>0.12477858624773161</v>
      </c>
      <c r="M26" s="415">
        <f>+'P01 2025'!W17</f>
        <v>2438.2159999999999</v>
      </c>
      <c r="N26" s="562">
        <f t="shared" si="1"/>
        <v>0.12477858624773161</v>
      </c>
      <c r="O26" s="415">
        <f t="shared" si="4"/>
        <v>17102.124</v>
      </c>
      <c r="P26" s="691">
        <f t="shared" si="2"/>
        <v>0.87522141375226836</v>
      </c>
      <c r="Q26" s="416">
        <f>+'P01 2024'!X17</f>
        <v>22653.08</v>
      </c>
      <c r="R26" s="109">
        <f>SUMIF(T$3:$AG$3,"SI",T26:AG26)</f>
        <v>3544.3702940000003</v>
      </c>
      <c r="S26" s="562">
        <f t="shared" si="5"/>
        <v>0.15646306347746089</v>
      </c>
      <c r="T26" s="962">
        <f>+'P01 2025'!G17</f>
        <v>1334.019</v>
      </c>
      <c r="U26" s="804">
        <f>+'P01 2024'!K17</f>
        <v>1649.8569520000001</v>
      </c>
      <c r="V26" s="804">
        <f>+'P01 2025'!N15</f>
        <v>1104.1969999999999</v>
      </c>
      <c r="W26" s="109">
        <f>+'P01 2024'!Q15</f>
        <v>1894.5133420000002</v>
      </c>
      <c r="X26" s="943">
        <f>+'P01 2024'!AE16</f>
        <v>1718.2729999999999</v>
      </c>
      <c r="Y26" s="109">
        <f>+'P01 2024'!AT15</f>
        <v>1656.3009999999999</v>
      </c>
      <c r="Z26" s="109">
        <f>+'P01 2024'!BI15</f>
        <v>1584.867</v>
      </c>
      <c r="AA26" s="109">
        <f>+'P01 2024'!BX16</f>
        <v>1819.8219999999999</v>
      </c>
      <c r="AB26" s="109">
        <f>+'P01 2024'!CM16</f>
        <v>1556.0809999999999</v>
      </c>
      <c r="AC26" s="109">
        <f>+'P01 2024'!DB16</f>
        <v>1527.261</v>
      </c>
      <c r="AD26" s="109">
        <f>+'P01 2024'!DR16</f>
        <v>1750.7360000000001</v>
      </c>
      <c r="AE26" s="109">
        <f>SUM(AE27:AE28)</f>
        <v>1432.355</v>
      </c>
      <c r="AF26" s="109">
        <f>+'P01 2024'!ET15</f>
        <v>1439.53</v>
      </c>
      <c r="AG26" s="1006">
        <f>+'P01 2024'!FL16</f>
        <v>1652.069</v>
      </c>
      <c r="AH26" s="915"/>
      <c r="AI26" s="915"/>
      <c r="AJ26" s="915"/>
      <c r="AK26" s="915"/>
      <c r="AL26" s="916"/>
      <c r="AM26" s="210"/>
      <c r="AN26" s="210"/>
      <c r="AO26" s="210"/>
      <c r="AP26" s="210"/>
      <c r="AQ26" s="210"/>
      <c r="AR26" s="210"/>
      <c r="AS26" s="210"/>
      <c r="AT26" s="210"/>
      <c r="AU26" s="210"/>
      <c r="AV26" s="210"/>
      <c r="AW26" s="210"/>
      <c r="AX26" s="201"/>
      <c r="AY26" s="201"/>
      <c r="AZ26" s="201"/>
      <c r="BA26" s="201"/>
      <c r="BB26" s="201"/>
      <c r="BC26" s="905"/>
      <c r="BD26" s="905"/>
      <c r="BE26" s="577"/>
      <c r="BF26" s="577"/>
      <c r="BG26" s="198"/>
      <c r="BH26" s="580"/>
      <c r="BI26" s="201"/>
      <c r="BJ26" s="210"/>
      <c r="BK26" s="201"/>
      <c r="BL26" s="201"/>
      <c r="BM26" s="210"/>
      <c r="BN26" s="210"/>
      <c r="BO26" s="210"/>
      <c r="BP26" s="210"/>
      <c r="BQ26" s="201"/>
      <c r="BR26" s="198"/>
      <c r="BS26" s="161"/>
      <c r="BT26" s="202"/>
      <c r="BU26" s="202"/>
    </row>
    <row r="27" spans="1:73" ht="15" hidden="1" customHeight="1" x14ac:dyDescent="0.25">
      <c r="B27" s="233" t="s">
        <v>528</v>
      </c>
      <c r="C27" s="964"/>
      <c r="D27" s="304"/>
      <c r="E27" s="419"/>
      <c r="F27" s="419">
        <v>1</v>
      </c>
      <c r="G27" s="418" t="str">
        <f>+CONCATENATE($C$10,"",$D$11,"",$E$26,"00",F27)</f>
        <v>21.01.002.001</v>
      </c>
      <c r="H27" s="812" t="s">
        <v>29</v>
      </c>
      <c r="I27" s="420">
        <f>+'P01 2025'!F18</f>
        <v>1667.615</v>
      </c>
      <c r="J27" s="420">
        <f>+'P01 2025'!U18</f>
        <v>1667.615</v>
      </c>
      <c r="K27" s="421">
        <f ca="1">SUMIF(T$3:$AG19,"ok",T27:AG27)</f>
        <v>130.50899999999999</v>
      </c>
      <c r="L27" s="566">
        <f t="shared" ca="1" si="0"/>
        <v>7.8260869565217384E-2</v>
      </c>
      <c r="M27" s="420">
        <f>+'P01 2025'!W18</f>
        <v>130.50899999999999</v>
      </c>
      <c r="N27" s="566">
        <f t="shared" si="1"/>
        <v>7.8260869565217384E-2</v>
      </c>
      <c r="O27" s="421">
        <f t="shared" si="4"/>
        <v>1537.106</v>
      </c>
      <c r="P27" s="228">
        <f t="shared" si="2"/>
        <v>0.92173913043478262</v>
      </c>
      <c r="Q27" s="112">
        <f>+'P01 2024'!X18</f>
        <v>1635.94</v>
      </c>
      <c r="R27" s="112">
        <f>SUMIF(T$3:$AG$3,"SI",T27:AG27)</f>
        <v>362.641008</v>
      </c>
      <c r="S27" s="227">
        <f t="shared" si="5"/>
        <v>0.22167133757961782</v>
      </c>
      <c r="T27" s="422">
        <f>+'P01 2025'!G18</f>
        <v>130.50899999999999</v>
      </c>
      <c r="U27" s="805">
        <f>+'P01 2024'!K18</f>
        <v>0</v>
      </c>
      <c r="V27" s="805">
        <v>0</v>
      </c>
      <c r="W27" s="422">
        <f>+'P01 2024'!Q16</f>
        <v>362.641008</v>
      </c>
      <c r="X27" s="944">
        <v>0</v>
      </c>
      <c r="Y27" s="112">
        <f>+'P01 2024'!AT16</f>
        <v>174.012</v>
      </c>
      <c r="Z27" s="112">
        <f>+'P01 2024'!BI16</f>
        <v>174.012</v>
      </c>
      <c r="AA27" s="112">
        <f>+'P01 2024'!BX17</f>
        <v>159.511</v>
      </c>
      <c r="AB27" s="112">
        <f>+'P01 2024'!CM17</f>
        <v>159.511</v>
      </c>
      <c r="AC27" s="241">
        <f>+'P01 2024'!DB17</f>
        <v>130.50899999999999</v>
      </c>
      <c r="AD27" s="112">
        <f>+'P01 2024'!DR17</f>
        <v>130.50899999999999</v>
      </c>
      <c r="AE27" s="112">
        <f>'P01 2024'!EG17</f>
        <v>130.50899999999999</v>
      </c>
      <c r="AF27" s="115">
        <f>+'P01 2024'!ET16</f>
        <v>130.50899999999999</v>
      </c>
      <c r="AG27" s="1086">
        <f>+'P01 2024'!FL17</f>
        <v>130.50899999999999</v>
      </c>
      <c r="AH27" s="915"/>
      <c r="AI27" s="915"/>
      <c r="AJ27" s="915"/>
      <c r="AK27" s="915"/>
      <c r="AL27" s="916"/>
      <c r="BB27" s="201"/>
      <c r="BE27" s="577"/>
      <c r="BF27" s="577"/>
      <c r="BG27" s="198"/>
      <c r="BH27" s="580"/>
      <c r="BI27" s="201"/>
      <c r="BK27" s="201"/>
      <c r="BL27" s="201"/>
      <c r="BR27" s="198"/>
      <c r="BS27" s="161"/>
      <c r="BT27" s="202"/>
      <c r="BU27" s="202"/>
    </row>
    <row r="28" spans="1:73" ht="15" hidden="1" customHeight="1" x14ac:dyDescent="0.25">
      <c r="B28" s="233" t="s">
        <v>529</v>
      </c>
      <c r="C28" s="964"/>
      <c r="D28" s="304"/>
      <c r="E28" s="419"/>
      <c r="F28" s="419">
        <v>2</v>
      </c>
      <c r="G28" s="418" t="str">
        <f>+CONCATENATE($C$10,"",$D$11,"",$E$26,"00",F28)</f>
        <v>21.01.002.002</v>
      </c>
      <c r="H28" s="812" t="s">
        <v>30</v>
      </c>
      <c r="I28" s="420">
        <f>+'P01 2025'!F19</f>
        <v>17872.724999999999</v>
      </c>
      <c r="J28" s="420">
        <f>+'P01 2025'!U19</f>
        <v>17872.724999999999</v>
      </c>
      <c r="K28" s="421">
        <f ca="1">SUMIF(T$3:$AG20,"ok",T28:AG28)</f>
        <v>2307.7069999999999</v>
      </c>
      <c r="L28" s="566">
        <f t="shared" ca="1" si="0"/>
        <v>0.12911892282794035</v>
      </c>
      <c r="M28" s="420">
        <f>+'P01 2025'!W19</f>
        <v>2307.7069999999999</v>
      </c>
      <c r="N28" s="566">
        <f t="shared" si="1"/>
        <v>0.12911892282794035</v>
      </c>
      <c r="O28" s="421">
        <f t="shared" si="4"/>
        <v>15565.017999999998</v>
      </c>
      <c r="P28" s="228">
        <f t="shared" si="2"/>
        <v>0.87088107717205965</v>
      </c>
      <c r="Q28" s="112">
        <f>+'P01 2024'!X19</f>
        <v>21017.14</v>
      </c>
      <c r="R28" s="112">
        <f>SUMIF(T$3:$AG$3,"SI",T28:AG28)</f>
        <v>3181.7292859999998</v>
      </c>
      <c r="S28" s="227">
        <f t="shared" si="5"/>
        <v>0.15138735746157658</v>
      </c>
      <c r="T28" s="422">
        <f>+'P01 2025'!G19</f>
        <v>1203.51</v>
      </c>
      <c r="U28" s="805">
        <f>+'P01 2024'!K19</f>
        <v>1649.8569520000001</v>
      </c>
      <c r="V28" s="805">
        <f>+'P01 2025'!N16</f>
        <v>1104.1969999999999</v>
      </c>
      <c r="W28" s="422">
        <f>+'P01 2024'!Q17</f>
        <v>1531.8723339999999</v>
      </c>
      <c r="X28" s="944">
        <f>+'P01 2024'!AE17</f>
        <v>1718.2729999999999</v>
      </c>
      <c r="Y28" s="112">
        <f>+'P01 2024'!AT17</f>
        <v>1482.289</v>
      </c>
      <c r="Z28" s="112">
        <f>+'P01 2024'!BI17</f>
        <v>1410.855</v>
      </c>
      <c r="AA28" s="112">
        <f>+'P01 2024'!BX18</f>
        <v>1660.3109999999999</v>
      </c>
      <c r="AB28" s="112">
        <f>+'P01 2024'!CM18</f>
        <v>1396.57</v>
      </c>
      <c r="AC28" s="241">
        <f>+'P01 2024'!DB18</f>
        <v>1396.752</v>
      </c>
      <c r="AD28" s="112">
        <f>+'P01 2024'!DR18</f>
        <v>1620.2270000000001</v>
      </c>
      <c r="AE28" s="112">
        <f>+'P01 2024'!EG18</f>
        <v>1301.846</v>
      </c>
      <c r="AF28" s="115">
        <f>+'P01 2024'!ET17</f>
        <v>1309.021</v>
      </c>
      <c r="AG28" s="1086">
        <f>+'P01 2024'!FL18</f>
        <v>1521.56</v>
      </c>
      <c r="AH28" s="915"/>
      <c r="AI28" s="915"/>
      <c r="AJ28" s="915"/>
      <c r="AK28" s="915"/>
      <c r="AL28" s="916"/>
      <c r="BB28" s="201"/>
      <c r="BE28" s="577"/>
      <c r="BF28" s="577"/>
      <c r="BG28" s="198"/>
      <c r="BH28" s="580"/>
      <c r="BI28" s="201"/>
      <c r="BK28" s="201"/>
      <c r="BL28" s="201"/>
      <c r="BR28" s="198"/>
      <c r="BS28" s="161"/>
      <c r="BT28" s="202"/>
      <c r="BU28" s="202"/>
    </row>
    <row r="29" spans="1:73" s="417" customFormat="1" ht="15" hidden="1" customHeight="1" x14ac:dyDescent="0.25">
      <c r="A29" s="107"/>
      <c r="B29" s="233" t="s">
        <v>530</v>
      </c>
      <c r="C29" s="961"/>
      <c r="D29" s="238"/>
      <c r="E29" s="424" t="s">
        <v>157</v>
      </c>
      <c r="F29" s="424"/>
      <c r="G29" s="424"/>
      <c r="H29" s="980" t="s">
        <v>31</v>
      </c>
      <c r="I29" s="195">
        <f>+'P01 2025'!F20</f>
        <v>56619.78</v>
      </c>
      <c r="J29" s="415">
        <f>+'P01 2025'!U20</f>
        <v>56619.78</v>
      </c>
      <c r="K29" s="415">
        <f ca="1">SUMIF(T$3:$AG21,"ok",T29:AG29)</f>
        <v>0</v>
      </c>
      <c r="L29" s="567">
        <f t="shared" ca="1" si="0"/>
        <v>0</v>
      </c>
      <c r="M29" s="415">
        <f>+'P01 2025'!W20</f>
        <v>0</v>
      </c>
      <c r="N29" s="567">
        <f t="shared" si="1"/>
        <v>0</v>
      </c>
      <c r="O29" s="415">
        <f t="shared" si="4"/>
        <v>56619.78</v>
      </c>
      <c r="P29" s="691">
        <f t="shared" si="2"/>
        <v>1</v>
      </c>
      <c r="Q29" s="416">
        <f>+'P01 2024'!X20</f>
        <v>61217.5</v>
      </c>
      <c r="R29" s="109">
        <f>SUMIF(T$3:$AG$3,"SI",T29:AG29)</f>
        <v>0</v>
      </c>
      <c r="S29" s="562">
        <f t="shared" si="5"/>
        <v>0</v>
      </c>
      <c r="T29" s="806">
        <f>+'P01 2025'!G20</f>
        <v>0</v>
      </c>
      <c r="U29" s="804">
        <f>+'P01 2024'!K20</f>
        <v>0</v>
      </c>
      <c r="V29" s="804">
        <v>0</v>
      </c>
      <c r="W29" s="109">
        <v>0</v>
      </c>
      <c r="X29" s="943">
        <f>+'P01 2024'!AE18</f>
        <v>15773.07</v>
      </c>
      <c r="Y29" s="109">
        <v>0</v>
      </c>
      <c r="Z29" s="109">
        <v>0</v>
      </c>
      <c r="AA29" s="109">
        <f>+'P01 2024'!BX19</f>
        <v>14959.285</v>
      </c>
      <c r="AB29" s="109">
        <f>+'P01 2024'!CM19</f>
        <v>-3.8690000000000002</v>
      </c>
      <c r="AC29" s="109">
        <f>+'P01 2024'!DB19</f>
        <v>-13.53</v>
      </c>
      <c r="AD29" s="109">
        <f>+'P01 2024'!DR19</f>
        <v>12889.161</v>
      </c>
      <c r="AE29" s="109">
        <f>SUM(AE30:AE32)</f>
        <v>0</v>
      </c>
      <c r="AF29" s="109">
        <v>0</v>
      </c>
      <c r="AG29" s="1006">
        <f>+'P01 2024'!FL19</f>
        <v>13012.587</v>
      </c>
      <c r="AH29" s="915"/>
      <c r="AI29" s="915"/>
      <c r="AJ29" s="915"/>
      <c r="AK29" s="915"/>
      <c r="AL29" s="916"/>
      <c r="AM29" s="210"/>
      <c r="AN29" s="210"/>
      <c r="AO29" s="210"/>
      <c r="AP29" s="210"/>
      <c r="AQ29" s="210"/>
      <c r="AR29" s="210"/>
      <c r="AS29" s="210"/>
      <c r="AT29" s="210"/>
      <c r="AU29" s="210"/>
      <c r="AV29" s="210"/>
      <c r="AW29" s="210"/>
      <c r="AX29" s="201"/>
      <c r="AY29" s="201"/>
      <c r="AZ29" s="201"/>
      <c r="BA29" s="201"/>
      <c r="BB29" s="201"/>
      <c r="BC29" s="905"/>
      <c r="BD29" s="905"/>
      <c r="BE29" s="577"/>
      <c r="BF29" s="577"/>
      <c r="BG29" s="198"/>
      <c r="BH29" s="580"/>
      <c r="BI29" s="201"/>
      <c r="BJ29" s="210"/>
      <c r="BK29" s="201"/>
      <c r="BL29" s="201"/>
      <c r="BM29" s="210"/>
      <c r="BN29" s="210"/>
      <c r="BO29" s="210"/>
      <c r="BP29" s="210"/>
      <c r="BQ29" s="201"/>
      <c r="BR29" s="198"/>
      <c r="BS29" s="161"/>
      <c r="BT29" s="202"/>
      <c r="BU29" s="202"/>
    </row>
    <row r="30" spans="1:73" ht="15" hidden="1" customHeight="1" x14ac:dyDescent="0.25">
      <c r="B30" s="233" t="s">
        <v>531</v>
      </c>
      <c r="C30" s="964"/>
      <c r="D30" s="304"/>
      <c r="E30" s="419"/>
      <c r="F30" s="419">
        <v>1</v>
      </c>
      <c r="G30" s="418" t="str">
        <f>+CONCATENATE($C$10,"",$D$11,"",$E$29,"00",F30)</f>
        <v>21.01.003.001</v>
      </c>
      <c r="H30" s="812" t="s">
        <v>32</v>
      </c>
      <c r="I30" s="420">
        <f>+'P01 2025'!F21</f>
        <v>30187.928</v>
      </c>
      <c r="J30" s="420">
        <f>+'P01 2025'!U21</f>
        <v>30187.928</v>
      </c>
      <c r="K30" s="421">
        <f ca="1">SUMIF(T$3:$AG22,"ok",T30:AG30)</f>
        <v>0</v>
      </c>
      <c r="L30" s="566">
        <f t="shared" ca="1" si="0"/>
        <v>0</v>
      </c>
      <c r="M30" s="420">
        <f>+'P01 2025'!W21</f>
        <v>0</v>
      </c>
      <c r="N30" s="566">
        <f t="shared" si="1"/>
        <v>0</v>
      </c>
      <c r="O30" s="421">
        <f t="shared" si="4"/>
        <v>30187.928</v>
      </c>
      <c r="P30" s="228">
        <f t="shared" si="2"/>
        <v>1</v>
      </c>
      <c r="Q30" s="112">
        <f>+'P01 2024'!X21</f>
        <v>31885.200000000001</v>
      </c>
      <c r="R30" s="112">
        <f>SUMIF(T$3:$AG$3,"SI",T30:AG30)</f>
        <v>0</v>
      </c>
      <c r="S30" s="227">
        <f t="shared" si="5"/>
        <v>0</v>
      </c>
      <c r="T30" s="422">
        <f>+'P01 2025'!G21</f>
        <v>0</v>
      </c>
      <c r="U30" s="805">
        <f>+'P01 2024'!K21</f>
        <v>0</v>
      </c>
      <c r="V30" s="805">
        <v>0</v>
      </c>
      <c r="W30" s="422">
        <v>0</v>
      </c>
      <c r="X30" s="944">
        <f>+'P01 2024'!AE19</f>
        <v>8332.5030000000006</v>
      </c>
      <c r="Y30" s="112">
        <v>0</v>
      </c>
      <c r="Z30" s="112">
        <v>0</v>
      </c>
      <c r="AA30" s="112">
        <f>+'P01 2024'!BX20</f>
        <v>7936.9189999999999</v>
      </c>
      <c r="AB30" s="112">
        <f>+'P01 2024'!CM20</f>
        <v>-1.9350000000000001</v>
      </c>
      <c r="AC30" s="241">
        <f>+'P01 2024'!DB20</f>
        <v>-6.7649999999999997</v>
      </c>
      <c r="AD30" s="112">
        <f>+'P01 2024'!DR20</f>
        <v>6930.1469999999999</v>
      </c>
      <c r="AE30" s="112">
        <v>0</v>
      </c>
      <c r="AF30" s="115">
        <v>0</v>
      </c>
      <c r="AG30" s="1086">
        <f>+'P01 2024'!FL20</f>
        <v>6995.5209999999997</v>
      </c>
      <c r="AH30" s="915"/>
      <c r="AI30" s="915"/>
      <c r="AJ30" s="915"/>
      <c r="AK30" s="915"/>
      <c r="AL30" s="916"/>
      <c r="BB30" s="201"/>
      <c r="BE30" s="577"/>
      <c r="BF30" s="577"/>
      <c r="BG30" s="198"/>
      <c r="BH30" s="580"/>
      <c r="BI30" s="201"/>
      <c r="BK30" s="201"/>
      <c r="BL30" s="201"/>
      <c r="BR30" s="198"/>
      <c r="BS30" s="161"/>
      <c r="BT30" s="202"/>
      <c r="BU30" s="202"/>
    </row>
    <row r="31" spans="1:73" ht="15" hidden="1" customHeight="1" x14ac:dyDescent="0.25">
      <c r="B31" s="233" t="s">
        <v>345</v>
      </c>
      <c r="C31" s="964"/>
      <c r="D31" s="304"/>
      <c r="E31" s="419"/>
      <c r="F31" s="419">
        <v>2</v>
      </c>
      <c r="G31" s="418" t="str">
        <f>+CONCATENATE($C$10,"",$D$11,"",$E$29,"00",F31)</f>
        <v>21.01.003.002</v>
      </c>
      <c r="H31" s="812" t="s">
        <v>33</v>
      </c>
      <c r="I31" s="420">
        <f>+'P01 2025'!F22</f>
        <v>26431.851999999999</v>
      </c>
      <c r="J31" s="420">
        <f>+'P01 2025'!U22</f>
        <v>26431.851999999999</v>
      </c>
      <c r="K31" s="421">
        <f ca="1">SUMIF(T$3:$AG23,"ok",T31:AG31)</f>
        <v>0</v>
      </c>
      <c r="L31" s="566">
        <f t="shared" ca="1" si="0"/>
        <v>0</v>
      </c>
      <c r="M31" s="420">
        <f>+'P01 2025'!W22</f>
        <v>0</v>
      </c>
      <c r="N31" s="566">
        <f t="shared" si="1"/>
        <v>0</v>
      </c>
      <c r="O31" s="421">
        <f t="shared" si="4"/>
        <v>26431.851999999999</v>
      </c>
      <c r="P31" s="228">
        <f t="shared" si="2"/>
        <v>1</v>
      </c>
      <c r="Q31" s="112">
        <f>+'P01 2024'!X22</f>
        <v>29332.3</v>
      </c>
      <c r="R31" s="112">
        <f>SUMIF(T$3:$AG$3,"SI",T31:AG31)</f>
        <v>0</v>
      </c>
      <c r="S31" s="227">
        <f t="shared" si="5"/>
        <v>0</v>
      </c>
      <c r="T31" s="422">
        <f>+'P01 2025'!G22</f>
        <v>0</v>
      </c>
      <c r="U31" s="805">
        <f>+'P01 2024'!K22</f>
        <v>0</v>
      </c>
      <c r="V31" s="805">
        <v>0</v>
      </c>
      <c r="W31" s="422">
        <v>0</v>
      </c>
      <c r="X31" s="944">
        <f>+'P01 2024'!AE20</f>
        <v>7440.567</v>
      </c>
      <c r="Y31" s="112">
        <v>0</v>
      </c>
      <c r="Z31" s="112">
        <v>0</v>
      </c>
      <c r="AA31" s="112">
        <f>+'P01 2024'!BX21</f>
        <v>7022.366</v>
      </c>
      <c r="AB31" s="112">
        <f>+'P01 2024'!CM21</f>
        <v>-1.9339999999999999</v>
      </c>
      <c r="AC31" s="241">
        <f>+'P01 2024'!DB21</f>
        <v>-6.7649999999999997</v>
      </c>
      <c r="AD31" s="112">
        <f>+'P01 2024'!DR21</f>
        <v>5959.0140000000001</v>
      </c>
      <c r="AE31" s="112">
        <v>0</v>
      </c>
      <c r="AF31" s="115">
        <v>0</v>
      </c>
      <c r="AG31" s="1086">
        <f>+'P01 2024'!FL21</f>
        <v>6017.0659999999998</v>
      </c>
      <c r="AH31" s="915"/>
      <c r="AI31" s="915"/>
      <c r="AJ31" s="915"/>
      <c r="AK31" s="915"/>
      <c r="AL31" s="916"/>
      <c r="BB31" s="201"/>
      <c r="BE31" s="577"/>
      <c r="BF31" s="577"/>
      <c r="BG31" s="198"/>
      <c r="BH31" s="580"/>
      <c r="BI31" s="201"/>
      <c r="BK31" s="201"/>
      <c r="BL31" s="201"/>
      <c r="BR31" s="198"/>
      <c r="BS31" s="161"/>
      <c r="BT31" s="202"/>
      <c r="BU31" s="202"/>
    </row>
    <row r="32" spans="1:73" ht="15" hidden="1" customHeight="1" x14ac:dyDescent="0.25">
      <c r="B32" s="233" t="s">
        <v>949</v>
      </c>
      <c r="C32" s="964"/>
      <c r="D32" s="304"/>
      <c r="E32" s="419"/>
      <c r="F32" s="419">
        <v>3</v>
      </c>
      <c r="G32" s="418" t="str">
        <f>+CONCATENATE($C$10,"",$D$11,"",$E$29,"00",F32)</f>
        <v>21.01.003.003</v>
      </c>
      <c r="H32" s="896" t="s">
        <v>776</v>
      </c>
      <c r="I32" s="342">
        <v>0</v>
      </c>
      <c r="J32" s="460">
        <v>0</v>
      </c>
      <c r="K32" s="436">
        <f ca="1">SUMIF(T$3:$AG24,"ok",T32:AG32)</f>
        <v>0</v>
      </c>
      <c r="L32" s="565">
        <f t="shared" ca="1" si="0"/>
        <v>0</v>
      </c>
      <c r="M32" s="436">
        <v>0</v>
      </c>
      <c r="N32" s="565">
        <f t="shared" si="1"/>
        <v>0</v>
      </c>
      <c r="O32" s="436">
        <f t="shared" si="4"/>
        <v>0</v>
      </c>
      <c r="P32" s="228">
        <f t="shared" si="2"/>
        <v>0</v>
      </c>
      <c r="Q32" s="112">
        <v>0</v>
      </c>
      <c r="R32" s="425">
        <f ca="1">SUMIF(T$3:$AG23,"SI",T32:AG32)</f>
        <v>0</v>
      </c>
      <c r="S32" s="227" t="str">
        <f t="shared" ca="1" si="5"/>
        <v>0,00%</v>
      </c>
      <c r="T32" s="422">
        <v>0</v>
      </c>
      <c r="U32" s="805">
        <v>0</v>
      </c>
      <c r="V32" s="805">
        <v>0</v>
      </c>
      <c r="W32" s="422">
        <v>0</v>
      </c>
      <c r="X32" s="944">
        <v>0</v>
      </c>
      <c r="Y32" s="112">
        <v>0</v>
      </c>
      <c r="Z32" s="112">
        <v>0</v>
      </c>
      <c r="AA32" s="112">
        <v>0</v>
      </c>
      <c r="AB32" s="112">
        <v>0</v>
      </c>
      <c r="AC32" s="241">
        <v>0</v>
      </c>
      <c r="AD32" s="112">
        <v>0</v>
      </c>
      <c r="AE32" s="112">
        <v>0</v>
      </c>
      <c r="AF32" s="115">
        <v>0</v>
      </c>
      <c r="AG32" s="1086">
        <v>0</v>
      </c>
      <c r="AH32" s="915"/>
      <c r="AI32" s="915"/>
      <c r="AJ32" s="915"/>
      <c r="AK32" s="915"/>
      <c r="AL32" s="916"/>
      <c r="BB32" s="201"/>
      <c r="BE32" s="577"/>
      <c r="BF32" s="577"/>
      <c r="BG32" s="198"/>
      <c r="BH32" s="580"/>
      <c r="BI32" s="201"/>
      <c r="BK32" s="201"/>
      <c r="BL32" s="201"/>
      <c r="BR32" s="198"/>
      <c r="BS32" s="161"/>
      <c r="BT32" s="202"/>
      <c r="BU32" s="202"/>
    </row>
    <row r="33" spans="1:73" s="417" customFormat="1" ht="15" hidden="1" customHeight="1" x14ac:dyDescent="0.25">
      <c r="A33" s="107"/>
      <c r="B33" s="233" t="s">
        <v>346</v>
      </c>
      <c r="C33" s="961"/>
      <c r="D33" s="238"/>
      <c r="E33" s="47" t="s">
        <v>158</v>
      </c>
      <c r="F33" s="47"/>
      <c r="G33" s="47"/>
      <c r="H33" s="618" t="s">
        <v>34</v>
      </c>
      <c r="I33" s="195">
        <f>+'P01 2025'!F23</f>
        <v>97527.415999999997</v>
      </c>
      <c r="J33" s="415">
        <f>+'P01 2025'!U23</f>
        <v>97527.415999999997</v>
      </c>
      <c r="K33" s="415">
        <f ca="1">SUMIF(T$3:$AG25,"ok",T33:AG33)</f>
        <v>14144.813</v>
      </c>
      <c r="L33" s="562">
        <f t="shared" ca="1" si="0"/>
        <v>0.14503422299223021</v>
      </c>
      <c r="M33" s="415">
        <f>+'P01 2025'!W23</f>
        <v>14144.813</v>
      </c>
      <c r="N33" s="562">
        <f t="shared" si="1"/>
        <v>0.14503422299223021</v>
      </c>
      <c r="O33" s="415">
        <f t="shared" si="4"/>
        <v>83382.603000000003</v>
      </c>
      <c r="P33" s="691">
        <f t="shared" si="2"/>
        <v>0.85496577700776988</v>
      </c>
      <c r="Q33" s="109">
        <f>+'P01 2024'!X23</f>
        <v>220021.94700000001</v>
      </c>
      <c r="R33" s="416">
        <f ca="1">SUM(R34:R37)</f>
        <v>18607.777583999999</v>
      </c>
      <c r="S33" s="562">
        <f t="shared" ca="1" si="5"/>
        <v>8.4572370337219122E-2</v>
      </c>
      <c r="T33" s="806">
        <f>+'P01 2025'!G23</f>
        <v>7092.5050000000001</v>
      </c>
      <c r="U33" s="804">
        <f>+'P01 2024'!K23</f>
        <v>10094.76575</v>
      </c>
      <c r="V33" s="804">
        <f>+'P01 2025'!N17</f>
        <v>7052.308</v>
      </c>
      <c r="W33" s="426">
        <f>+'P01 2024'!Q18</f>
        <v>8513.0118340000008</v>
      </c>
      <c r="X33" s="943">
        <f>+'P01 2024'!AE21</f>
        <v>7448.2579999999998</v>
      </c>
      <c r="Y33" s="109">
        <f>+'P01 2024'!AT18</f>
        <v>8087.875</v>
      </c>
      <c r="Z33" s="109">
        <f>+'P01 2024'!BI18</f>
        <v>8005.8729999999996</v>
      </c>
      <c r="AA33" s="109">
        <f>+'P01 2024'!BX22</f>
        <v>8104.2749999999996</v>
      </c>
      <c r="AB33" s="109">
        <f>+'P01 2024'!CM22</f>
        <v>7759.4080000000004</v>
      </c>
      <c r="AC33" s="109">
        <f>+'P01 2024'!DB22</f>
        <v>8084.8</v>
      </c>
      <c r="AD33" s="109">
        <f>+'P01 2024'!DR22</f>
        <v>7827.8469999999998</v>
      </c>
      <c r="AE33" s="109">
        <f>SUM(AE34:AE37)</f>
        <v>8272.527</v>
      </c>
      <c r="AF33" s="109">
        <f>+'P01 2024'!ET18</f>
        <v>7881.9679999999998</v>
      </c>
      <c r="AG33" s="1006">
        <f>+'P01 2024'!FL22</f>
        <v>7684.3069999999998</v>
      </c>
      <c r="AH33" s="915"/>
      <c r="AI33" s="915"/>
      <c r="AJ33" s="915"/>
      <c r="AK33" s="915"/>
      <c r="AL33" s="916"/>
      <c r="AM33" s="210"/>
      <c r="AN33" s="210"/>
      <c r="AO33" s="210"/>
      <c r="AP33" s="210"/>
      <c r="AQ33" s="210"/>
      <c r="AR33" s="210"/>
      <c r="AS33" s="210"/>
      <c r="AT33" s="210"/>
      <c r="AU33" s="210"/>
      <c r="AV33" s="210"/>
      <c r="AW33" s="210"/>
      <c r="AX33" s="201"/>
      <c r="AY33" s="201"/>
      <c r="AZ33" s="201"/>
      <c r="BA33" s="201"/>
      <c r="BB33" s="201"/>
      <c r="BC33" s="905"/>
      <c r="BD33" s="905"/>
      <c r="BE33" s="577"/>
      <c r="BF33" s="577"/>
      <c r="BG33" s="198"/>
      <c r="BH33" s="580"/>
      <c r="BI33" s="201"/>
      <c r="BJ33" s="210"/>
      <c r="BK33" s="201"/>
      <c r="BL33" s="201"/>
      <c r="BM33" s="210"/>
      <c r="BN33" s="210"/>
      <c r="BO33" s="210"/>
      <c r="BP33" s="210"/>
      <c r="BQ33" s="201"/>
      <c r="BR33" s="198"/>
      <c r="BS33" s="161"/>
      <c r="BT33" s="202"/>
      <c r="BU33" s="202"/>
    </row>
    <row r="34" spans="1:73" ht="15" hidden="1" customHeight="1" x14ac:dyDescent="0.25">
      <c r="B34" s="233" t="s">
        <v>532</v>
      </c>
      <c r="C34" s="964"/>
      <c r="D34" s="304"/>
      <c r="E34" s="419"/>
      <c r="F34" s="419">
        <v>4</v>
      </c>
      <c r="G34" s="418" t="str">
        <f>+CONCATENATE($C$10,"",$D$11,"",$E$33,"00",F34)</f>
        <v>21.01.004.004</v>
      </c>
      <c r="H34" s="812" t="s">
        <v>35</v>
      </c>
      <c r="I34" s="420">
        <f>+'P01 2025'!F24</f>
        <v>89789.216</v>
      </c>
      <c r="J34" s="420">
        <f>+'P01 2025'!U24</f>
        <v>89789.216</v>
      </c>
      <c r="K34" s="421">
        <f ca="1">SUMIF(T$3:$AG26,"ok",T34:AG34)</f>
        <v>13039.422</v>
      </c>
      <c r="L34" s="566">
        <f t="shared" ca="1" si="0"/>
        <v>0.14522258441370064</v>
      </c>
      <c r="M34" s="420">
        <f>+'P01 2025'!W24</f>
        <v>13039.422</v>
      </c>
      <c r="N34" s="566">
        <f t="shared" si="1"/>
        <v>0.14522258441370064</v>
      </c>
      <c r="O34" s="421">
        <f t="shared" si="4"/>
        <v>76749.793999999994</v>
      </c>
      <c r="P34" s="228">
        <f t="shared" si="2"/>
        <v>0.85477741558629927</v>
      </c>
      <c r="Q34" s="112">
        <f>+'P01 2024'!X24</f>
        <v>211675.527</v>
      </c>
      <c r="R34" s="425">
        <f ca="1">SUMIF(T$3:$AG23,"SI",T34:AG34)</f>
        <v>16984.29782</v>
      </c>
      <c r="S34" s="227">
        <f t="shared" ca="1" si="5"/>
        <v>8.0237418376664774E-2</v>
      </c>
      <c r="T34" s="422">
        <f>+'P01 2025'!G24</f>
        <v>6519.7110000000002</v>
      </c>
      <c r="U34" s="805">
        <f>+'P01 2024'!K24</f>
        <v>9325.7489100000003</v>
      </c>
      <c r="V34" s="805">
        <f>+'P01 2025'!N18</f>
        <v>6519.7110000000002</v>
      </c>
      <c r="W34" s="422">
        <f>+'P01 2024'!Q19</f>
        <v>7658.5489099999995</v>
      </c>
      <c r="X34" s="944">
        <f>+'P01 2024'!AE22</f>
        <v>7349.8549999999996</v>
      </c>
      <c r="Y34" s="112">
        <f>+'P01 2024'!AT19</f>
        <v>7349.8549999999996</v>
      </c>
      <c r="Z34" s="112">
        <f>+'P01 2024'!BI19</f>
        <v>7349.8549999999996</v>
      </c>
      <c r="AA34" s="112">
        <f>+'P01 2024'!BX23</f>
        <v>7349.8549999999996</v>
      </c>
      <c r="AB34" s="112">
        <f>+'P01 2024'!CM23</f>
        <v>7347.9210000000003</v>
      </c>
      <c r="AC34" s="241">
        <f>+'P01 2024'!DB23</f>
        <v>7343.09</v>
      </c>
      <c r="AD34" s="112">
        <f>+'P01 2024'!DR23</f>
        <v>7349.8549999999996</v>
      </c>
      <c r="AE34" s="112">
        <f>'P01 2024'!EG20</f>
        <v>7349.51</v>
      </c>
      <c r="AF34" s="115">
        <f>+'P01 2024'!ET19</f>
        <v>7349.8549999999996</v>
      </c>
      <c r="AG34" s="1086">
        <f>+'P01 2024'!FL23</f>
        <v>7348.317</v>
      </c>
      <c r="AH34" s="915"/>
      <c r="AI34" s="915"/>
      <c r="AJ34" s="915"/>
      <c r="AK34" s="915"/>
      <c r="AL34" s="916"/>
      <c r="BB34" s="201"/>
      <c r="BE34" s="577"/>
      <c r="BF34" s="577"/>
      <c r="BG34" s="198"/>
      <c r="BH34" s="580"/>
      <c r="BI34" s="201"/>
      <c r="BK34" s="201"/>
      <c r="BL34" s="201"/>
      <c r="BR34" s="198"/>
      <c r="BS34" s="161"/>
      <c r="BT34" s="202"/>
      <c r="BU34" s="202"/>
    </row>
    <row r="35" spans="1:73" ht="15" hidden="1" customHeight="1" x14ac:dyDescent="0.25">
      <c r="B35" s="233" t="s">
        <v>533</v>
      </c>
      <c r="C35" s="964"/>
      <c r="D35" s="304"/>
      <c r="E35" s="419"/>
      <c r="F35" s="419">
        <v>5</v>
      </c>
      <c r="G35" s="418" t="str">
        <f>+CONCATENATE($C$10,"",$D$11,"",$E$33,"00",F35)</f>
        <v>21.01.004.005</v>
      </c>
      <c r="H35" s="812" t="s">
        <v>342</v>
      </c>
      <c r="I35" s="420">
        <f>+'P01 2025'!F25</f>
        <v>138.19999999999999</v>
      </c>
      <c r="J35" s="420">
        <f>+'P01 2025'!U25</f>
        <v>138.19999999999999</v>
      </c>
      <c r="K35" s="421">
        <f ca="1">SUMIF(T$3:$AG27,"ok",T35:AG35)</f>
        <v>48.972000000000001</v>
      </c>
      <c r="L35" s="566">
        <f t="shared" ca="1" si="0"/>
        <v>0.35435600578871207</v>
      </c>
      <c r="M35" s="420">
        <f>+'P01 2025'!W25</f>
        <v>48.972000000000001</v>
      </c>
      <c r="N35" s="566">
        <f t="shared" si="1"/>
        <v>0.35435600578871207</v>
      </c>
      <c r="O35" s="421">
        <f t="shared" si="4"/>
        <v>89.22799999999998</v>
      </c>
      <c r="P35" s="228">
        <f t="shared" si="2"/>
        <v>0.64564399421128793</v>
      </c>
      <c r="Q35" s="112">
        <f>+'P01 2024'!X25</f>
        <v>625.20000000000005</v>
      </c>
      <c r="R35" s="425">
        <f ca="1">SUMIF(T$3:$AG25,"SI",T35:AG35)</f>
        <v>0</v>
      </c>
      <c r="S35" s="227">
        <f t="shared" ca="1" si="5"/>
        <v>0</v>
      </c>
      <c r="T35" s="422">
        <f>+'P01 2025'!G25</f>
        <v>48.972000000000001</v>
      </c>
      <c r="U35" s="805">
        <f>+'P01 2024'!K25</f>
        <v>0</v>
      </c>
      <c r="V35" s="805">
        <v>0</v>
      </c>
      <c r="W35" s="882">
        <v>0</v>
      </c>
      <c r="X35" s="944">
        <v>0</v>
      </c>
      <c r="Y35" s="112">
        <v>0</v>
      </c>
      <c r="Z35" s="112">
        <v>0</v>
      </c>
      <c r="AA35" s="112">
        <v>0</v>
      </c>
      <c r="AB35" s="112"/>
      <c r="AC35" s="241">
        <v>0</v>
      </c>
      <c r="AD35" s="112">
        <v>0</v>
      </c>
      <c r="AE35" s="112">
        <v>0</v>
      </c>
      <c r="AF35" s="115">
        <v>0</v>
      </c>
      <c r="AG35" s="1086">
        <f>+'P01 2024'!FL24</f>
        <v>138.19999999999999</v>
      </c>
      <c r="AH35" s="915"/>
      <c r="AI35" s="915"/>
      <c r="AJ35" s="915"/>
      <c r="AK35" s="915"/>
      <c r="AL35" s="916"/>
      <c r="BB35" s="201"/>
      <c r="BE35" s="577"/>
      <c r="BF35" s="577"/>
      <c r="BG35" s="198"/>
      <c r="BH35" s="580"/>
      <c r="BI35" s="201"/>
      <c r="BK35" s="201"/>
      <c r="BL35" s="201"/>
      <c r="BR35" s="198"/>
      <c r="BS35" s="161"/>
      <c r="BT35" s="202"/>
      <c r="BU35" s="202"/>
    </row>
    <row r="36" spans="1:73" ht="15" hidden="1" customHeight="1" collapsed="1" x14ac:dyDescent="0.25">
      <c r="B36" s="233" t="s">
        <v>584</v>
      </c>
      <c r="C36" s="964"/>
      <c r="D36" s="304"/>
      <c r="E36" s="419"/>
      <c r="F36" s="419">
        <v>6</v>
      </c>
      <c r="G36" s="418" t="str">
        <f>+CONCATENATE($C$10,"",$D$11,"",$E$33,"00",F36)</f>
        <v>21.01.004.006</v>
      </c>
      <c r="H36" s="812" t="s">
        <v>37</v>
      </c>
      <c r="I36" s="420">
        <f>+'P01 2025'!F26</f>
        <v>5600</v>
      </c>
      <c r="J36" s="420">
        <f>+'P01 2025'!U26</f>
        <v>5600</v>
      </c>
      <c r="K36" s="421">
        <f ca="1">SUMIF(T$3:$AG28,"ok",T36:AG36)</f>
        <v>1056.4189999999999</v>
      </c>
      <c r="L36" s="566">
        <f t="shared" ca="1" si="0"/>
        <v>0.18864624999999999</v>
      </c>
      <c r="M36" s="420">
        <f>+'P01 2025'!W26</f>
        <v>1056.4190000000001</v>
      </c>
      <c r="N36" s="566">
        <f t="shared" si="1"/>
        <v>0.18864625000000002</v>
      </c>
      <c r="O36" s="421">
        <f t="shared" si="4"/>
        <v>4543.5810000000001</v>
      </c>
      <c r="P36" s="228">
        <f t="shared" si="2"/>
        <v>0.81135374999999998</v>
      </c>
      <c r="Q36" s="112">
        <f>+'P01 2024'!X26</f>
        <v>5637.22</v>
      </c>
      <c r="R36" s="425">
        <f ca="1">SUMIF(T$3:$AG26,"SI",T36:AG36)</f>
        <v>1623.4797640000002</v>
      </c>
      <c r="S36" s="227">
        <f t="shared" ca="1" si="5"/>
        <v>0.28799297597042517</v>
      </c>
      <c r="T36" s="422">
        <f>+'P01 2025'!G26</f>
        <v>523.822</v>
      </c>
      <c r="U36" s="805">
        <f>+'P01 2024'!K26</f>
        <v>769.01684</v>
      </c>
      <c r="V36" s="805">
        <f>+'P01 2025'!N19</f>
        <v>532.59699999999998</v>
      </c>
      <c r="W36" s="882">
        <f>+'P01 2024'!Q20</f>
        <v>854.46292400000004</v>
      </c>
      <c r="X36" s="944">
        <f>+'P01 2024'!AE23</f>
        <v>98.403000000000006</v>
      </c>
      <c r="Y36" s="112">
        <f>+'P01 2024'!AT20</f>
        <v>738.02</v>
      </c>
      <c r="Z36" s="112">
        <f>+'P01 2024'!BI20</f>
        <v>656.01800000000003</v>
      </c>
      <c r="AA36" s="112">
        <f>+'P01 2024'!BX24</f>
        <v>754.42</v>
      </c>
      <c r="AB36" s="112">
        <f>+'P01 2024'!CM24</f>
        <v>411.48700000000002</v>
      </c>
      <c r="AC36" s="241">
        <f>+'P01 2024'!DB24</f>
        <v>741.71</v>
      </c>
      <c r="AD36" s="112">
        <f>+'P01 2024'!DR24</f>
        <v>477.99200000000002</v>
      </c>
      <c r="AE36" s="112">
        <f>'P01 2024'!EG21</f>
        <v>923.01700000000005</v>
      </c>
      <c r="AF36" s="115">
        <f>+'P01 2024'!ET20</f>
        <v>532.11300000000006</v>
      </c>
      <c r="AG36" s="1086">
        <f>+'P01 2024'!FL25</f>
        <v>197.79</v>
      </c>
      <c r="AH36" s="915"/>
      <c r="AI36" s="915"/>
      <c r="AJ36" s="915"/>
      <c r="AK36" s="915"/>
      <c r="AL36" s="916"/>
      <c r="BB36" s="201"/>
      <c r="BE36" s="577"/>
      <c r="BF36" s="577"/>
      <c r="BG36" s="198"/>
      <c r="BH36" s="580"/>
      <c r="BI36" s="201"/>
      <c r="BK36" s="201"/>
      <c r="BL36" s="201"/>
      <c r="BR36" s="198"/>
      <c r="BS36" s="161"/>
      <c r="BT36" s="202"/>
      <c r="BU36" s="202"/>
    </row>
    <row r="37" spans="1:73" ht="15" hidden="1" customHeight="1" x14ac:dyDescent="0.25">
      <c r="B37" s="233" t="s">
        <v>534</v>
      </c>
      <c r="C37" s="964"/>
      <c r="D37" s="304"/>
      <c r="E37" s="419"/>
      <c r="F37" s="419">
        <v>7</v>
      </c>
      <c r="G37" s="418" t="s">
        <v>204</v>
      </c>
      <c r="H37" s="812" t="s">
        <v>38</v>
      </c>
      <c r="I37" s="420">
        <f>+'P01 2025'!F27</f>
        <v>2000</v>
      </c>
      <c r="J37" s="420">
        <f>+'P01 2025'!U27</f>
        <v>2000</v>
      </c>
      <c r="K37" s="421">
        <f ca="1">SUMIF(T$3:$AG29,"ok",T37:AG37)</f>
        <v>0</v>
      </c>
      <c r="L37" s="566">
        <f t="shared" ca="1" si="0"/>
        <v>0</v>
      </c>
      <c r="M37" s="420">
        <f>+'P01 2025'!W27</f>
        <v>0</v>
      </c>
      <c r="N37" s="566">
        <f t="shared" si="1"/>
        <v>0</v>
      </c>
      <c r="O37" s="421">
        <f t="shared" si="4"/>
        <v>2000</v>
      </c>
      <c r="P37" s="228">
        <f t="shared" si="2"/>
        <v>1</v>
      </c>
      <c r="Q37" s="112">
        <f>+'P01 2024'!X27</f>
        <v>2084</v>
      </c>
      <c r="R37" s="425">
        <f ca="1">SUMIF(T$3:$AG27,"SI",T37:AG37)</f>
        <v>0</v>
      </c>
      <c r="S37" s="227">
        <f t="shared" ca="1" si="5"/>
        <v>0</v>
      </c>
      <c r="T37" s="422">
        <f>+'P01 2025'!G27</f>
        <v>0</v>
      </c>
      <c r="U37" s="805">
        <f>+'P01 2024'!K27</f>
        <v>0</v>
      </c>
      <c r="V37" s="805">
        <v>0</v>
      </c>
      <c r="W37" s="882">
        <v>0</v>
      </c>
      <c r="X37" s="944">
        <v>0</v>
      </c>
      <c r="Y37" s="112">
        <v>0</v>
      </c>
      <c r="Z37" s="112">
        <v>0</v>
      </c>
      <c r="AA37" s="112">
        <v>0</v>
      </c>
      <c r="AB37" s="112">
        <v>0</v>
      </c>
      <c r="AC37" s="241">
        <v>0</v>
      </c>
      <c r="AD37" s="112">
        <v>0</v>
      </c>
      <c r="AE37" s="112">
        <v>0</v>
      </c>
      <c r="AF37" s="115">
        <v>0</v>
      </c>
      <c r="AG37" s="1086">
        <v>0</v>
      </c>
      <c r="AH37" s="915"/>
      <c r="AI37" s="915"/>
      <c r="AJ37" s="915"/>
      <c r="AK37" s="915"/>
      <c r="AL37" s="916"/>
      <c r="BB37" s="201"/>
      <c r="BE37" s="577"/>
      <c r="BF37" s="577"/>
      <c r="BG37" s="198"/>
      <c r="BH37" s="580"/>
      <c r="BI37" s="201"/>
      <c r="BK37" s="201"/>
      <c r="BL37" s="201"/>
      <c r="BR37" s="198"/>
      <c r="BS37" s="161"/>
      <c r="BT37" s="202"/>
      <c r="BU37" s="202"/>
    </row>
    <row r="38" spans="1:73" s="417" customFormat="1" ht="15" hidden="1" customHeight="1" x14ac:dyDescent="0.25">
      <c r="A38" s="107"/>
      <c r="B38" s="233" t="s">
        <v>347</v>
      </c>
      <c r="C38" s="961"/>
      <c r="D38" s="238"/>
      <c r="E38" s="47" t="s">
        <v>159</v>
      </c>
      <c r="F38" s="47"/>
      <c r="G38" s="47"/>
      <c r="H38" s="618" t="s">
        <v>974</v>
      </c>
      <c r="I38" s="195">
        <f>+'P01 2025'!F28</f>
        <v>1210.5509999999999</v>
      </c>
      <c r="J38" s="415">
        <f>+'P01 2025'!U28</f>
        <v>1210.5509999999999</v>
      </c>
      <c r="K38" s="415">
        <f ca="1">SUMIF(T$3:$AG30,"ok",T38:AG38)</f>
        <v>218.404</v>
      </c>
      <c r="L38" s="562">
        <f t="shared" ca="1" si="0"/>
        <v>0.18041701671387658</v>
      </c>
      <c r="M38" s="415">
        <f>+'P01 2025'!W28</f>
        <v>218.404</v>
      </c>
      <c r="N38" s="562">
        <f t="shared" si="1"/>
        <v>0.18041701671387658</v>
      </c>
      <c r="O38" s="415">
        <f t="shared" si="4"/>
        <v>992.14699999999993</v>
      </c>
      <c r="P38" s="691">
        <f t="shared" si="2"/>
        <v>0.81958298328612345</v>
      </c>
      <c r="Q38" s="109">
        <f>+'P01 2024'!X28</f>
        <v>1156.6200000000001</v>
      </c>
      <c r="R38" s="109">
        <f ca="1">SUM(R39:R41)</f>
        <v>0</v>
      </c>
      <c r="S38" s="562">
        <f t="shared" ca="1" si="5"/>
        <v>0</v>
      </c>
      <c r="T38" s="806">
        <f>+'P01 2025'!G28</f>
        <v>218.404</v>
      </c>
      <c r="U38" s="804">
        <f>+'P01 2024'!K28</f>
        <v>0</v>
      </c>
      <c r="V38" s="804">
        <v>0</v>
      </c>
      <c r="W38" s="426">
        <v>0</v>
      </c>
      <c r="X38" s="943">
        <f>+'P01 2024'!AE24</f>
        <v>165.512</v>
      </c>
      <c r="Y38" s="208">
        <v>0</v>
      </c>
      <c r="Z38" s="208">
        <v>0</v>
      </c>
      <c r="AA38" s="208">
        <f>+'P01 2024'!BX25</f>
        <v>165.512</v>
      </c>
      <c r="AB38" s="208">
        <f>+'P01 2024'!CM25</f>
        <v>-1.9339999999999999</v>
      </c>
      <c r="AC38" s="109">
        <f>+'P01 2024'!DB25</f>
        <v>-2.5609999999999999</v>
      </c>
      <c r="AD38" s="208">
        <f>+'P01 2024'!DR25</f>
        <v>203.23500000000001</v>
      </c>
      <c r="AE38" s="208">
        <f>SUM(AE39:AE41)</f>
        <v>0</v>
      </c>
      <c r="AF38" s="208">
        <v>0</v>
      </c>
      <c r="AG38" s="1006">
        <f>+'P01 2024'!FL26</f>
        <v>679.25</v>
      </c>
      <c r="AH38" s="915"/>
      <c r="AI38" s="915"/>
      <c r="AJ38" s="915"/>
      <c r="AK38" s="915"/>
      <c r="AL38" s="916"/>
      <c r="AM38" s="210"/>
      <c r="AN38" s="210"/>
      <c r="AO38" s="210"/>
      <c r="AP38" s="210"/>
      <c r="AQ38" s="210"/>
      <c r="AR38" s="210"/>
      <c r="AS38" s="210"/>
      <c r="AT38" s="210"/>
      <c r="AU38" s="210"/>
      <c r="AV38" s="210"/>
      <c r="AW38" s="210"/>
      <c r="AX38" s="201"/>
      <c r="AY38" s="201"/>
      <c r="AZ38" s="201"/>
      <c r="BA38" s="201"/>
      <c r="BB38" s="201"/>
      <c r="BC38" s="905"/>
      <c r="BD38" s="905"/>
      <c r="BE38" s="577"/>
      <c r="BF38" s="577"/>
      <c r="BG38" s="198"/>
      <c r="BH38" s="580"/>
      <c r="BI38" s="201"/>
      <c r="BJ38" s="210"/>
      <c r="BK38" s="201"/>
      <c r="BL38" s="201"/>
      <c r="BM38" s="210"/>
      <c r="BN38" s="210"/>
      <c r="BO38" s="210"/>
      <c r="BP38" s="210"/>
      <c r="BQ38" s="201"/>
      <c r="BR38" s="198"/>
      <c r="BS38" s="161"/>
      <c r="BT38" s="202"/>
      <c r="BU38" s="202"/>
    </row>
    <row r="39" spans="1:73" ht="15" hidden="1" customHeight="1" x14ac:dyDescent="0.25">
      <c r="B39" s="233" t="s">
        <v>348</v>
      </c>
      <c r="C39" s="964"/>
      <c r="D39" s="304"/>
      <c r="E39" s="419"/>
      <c r="F39" s="419">
        <v>1</v>
      </c>
      <c r="G39" s="418" t="str">
        <f>+CONCATENATE($C$10,"",$D$11,"",$E$38,"00",F39)</f>
        <v>21.01.005.001</v>
      </c>
      <c r="H39" s="812" t="s">
        <v>95</v>
      </c>
      <c r="I39" s="420">
        <f>+'P01 2025'!F29</f>
        <v>344.95400000000001</v>
      </c>
      <c r="J39" s="420">
        <f>+'P01 2025'!U29</f>
        <v>344.95400000000001</v>
      </c>
      <c r="K39" s="421">
        <f ca="1">SUMIF(T$3:$AG31,"ok",T39:AG39)</f>
        <v>0</v>
      </c>
      <c r="L39" s="566">
        <f t="shared" ca="1" si="0"/>
        <v>0</v>
      </c>
      <c r="M39" s="420">
        <f>+'P01 2025'!W29</f>
        <v>0</v>
      </c>
      <c r="N39" s="566">
        <f t="shared" si="1"/>
        <v>0</v>
      </c>
      <c r="O39" s="421">
        <f t="shared" si="4"/>
        <v>344.95400000000001</v>
      </c>
      <c r="P39" s="228">
        <f t="shared" si="2"/>
        <v>1</v>
      </c>
      <c r="Q39" s="112">
        <f>+'P01 2024'!X29</f>
        <v>10.42</v>
      </c>
      <c r="R39" s="425">
        <f ca="1">SUMIF(T$3:$AG29,"SI",T39:AG39)</f>
        <v>0</v>
      </c>
      <c r="S39" s="227">
        <f t="shared" ca="1" si="5"/>
        <v>0</v>
      </c>
      <c r="T39" s="422">
        <f>+'P01 2025'!G29</f>
        <v>0</v>
      </c>
      <c r="U39" s="805">
        <f>+'P01 2024'!K29</f>
        <v>0</v>
      </c>
      <c r="V39" s="805">
        <v>0</v>
      </c>
      <c r="W39" s="882">
        <v>0</v>
      </c>
      <c r="X39" s="944">
        <v>0</v>
      </c>
      <c r="Y39" s="112">
        <v>0</v>
      </c>
      <c r="Z39" s="112">
        <v>0</v>
      </c>
      <c r="AA39" s="112">
        <v>0</v>
      </c>
      <c r="AB39" s="112">
        <v>0</v>
      </c>
      <c r="AC39" s="241">
        <v>0</v>
      </c>
      <c r="AD39" s="112">
        <f>+'P01 2024'!DR26</f>
        <v>203.23500000000001</v>
      </c>
      <c r="AE39" s="112">
        <v>0</v>
      </c>
      <c r="AF39" s="115">
        <v>0</v>
      </c>
      <c r="AG39" s="1086">
        <f>+'P01 2024'!FL27</f>
        <v>140.18199999999999</v>
      </c>
      <c r="AH39" s="915"/>
      <c r="AI39" s="915"/>
      <c r="AJ39" s="915"/>
      <c r="AK39" s="915"/>
      <c r="AL39" s="916"/>
      <c r="BB39" s="201"/>
      <c r="BE39" s="577"/>
      <c r="BF39" s="577"/>
      <c r="BG39" s="198"/>
      <c r="BH39" s="580"/>
      <c r="BI39" s="201"/>
      <c r="BK39" s="201"/>
      <c r="BL39" s="201"/>
      <c r="BR39" s="198"/>
      <c r="BS39" s="161"/>
      <c r="BT39" s="202"/>
      <c r="BU39" s="202"/>
    </row>
    <row r="40" spans="1:73" ht="15" hidden="1" customHeight="1" x14ac:dyDescent="0.25">
      <c r="B40" s="233" t="s">
        <v>460</v>
      </c>
      <c r="C40" s="964"/>
      <c r="D40" s="304"/>
      <c r="E40" s="419"/>
      <c r="F40" s="419">
        <v>2</v>
      </c>
      <c r="G40" s="418" t="str">
        <f>+CONCATENATE($C$10,"",$D$11,"",$E$38,"00",F40)</f>
        <v>21.01.005.002</v>
      </c>
      <c r="H40" s="812" t="s">
        <v>96</v>
      </c>
      <c r="I40" s="420">
        <f>+'P01 2025'!F30</f>
        <v>326.529</v>
      </c>
      <c r="J40" s="420">
        <f>+'P01 2025'!U30</f>
        <v>326.529</v>
      </c>
      <c r="K40" s="421">
        <f ca="1">SUMIF(T$3:$AG32,"ok",T40:AG40)</f>
        <v>0</v>
      </c>
      <c r="L40" s="566">
        <f t="shared" ca="1" si="0"/>
        <v>0</v>
      </c>
      <c r="M40" s="420">
        <f>+'P01 2025'!W30</f>
        <v>0</v>
      </c>
      <c r="N40" s="566">
        <f t="shared" si="1"/>
        <v>0</v>
      </c>
      <c r="O40" s="421">
        <f t="shared" si="4"/>
        <v>326.529</v>
      </c>
      <c r="P40" s="228">
        <f t="shared" si="2"/>
        <v>1</v>
      </c>
      <c r="Q40" s="112">
        <f>+'P01 2024'!X30</f>
        <v>333.44</v>
      </c>
      <c r="R40" s="425">
        <f ca="1">SUMIF(T$3:$AG30,"SI",T40:AG40)</f>
        <v>0</v>
      </c>
      <c r="S40" s="227">
        <f t="shared" ca="1" si="5"/>
        <v>0</v>
      </c>
      <c r="T40" s="422">
        <f>+'P01 2025'!G30</f>
        <v>0</v>
      </c>
      <c r="U40" s="805">
        <f>+'P01 2024'!K30</f>
        <v>0</v>
      </c>
      <c r="V40" s="805">
        <v>0</v>
      </c>
      <c r="W40" s="882">
        <v>0</v>
      </c>
      <c r="X40" s="944">
        <f>+'P01 2024'!AE25</f>
        <v>165.512</v>
      </c>
      <c r="Y40" s="112">
        <v>0</v>
      </c>
      <c r="Z40" s="112">
        <v>0</v>
      </c>
      <c r="AA40" s="427">
        <f>+'P01 2024'!BX26</f>
        <v>165.512</v>
      </c>
      <c r="AB40" s="112">
        <f>+'P01 2024'!CM26</f>
        <v>-1.9339999999999999</v>
      </c>
      <c r="AC40" s="241">
        <f>+'P01 2024'!DB26</f>
        <v>-2.5609999999999999</v>
      </c>
      <c r="AD40" s="112">
        <v>0</v>
      </c>
      <c r="AE40" s="112">
        <v>0</v>
      </c>
      <c r="AF40" s="115">
        <v>0</v>
      </c>
      <c r="AG40" s="1086">
        <v>0</v>
      </c>
      <c r="AH40" s="915"/>
      <c r="AI40" s="915"/>
      <c r="AJ40" s="915"/>
      <c r="AK40" s="915"/>
      <c r="AL40" s="916"/>
      <c r="BB40" s="201"/>
      <c r="BE40" s="577"/>
      <c r="BF40" s="577"/>
      <c r="BG40" s="198"/>
      <c r="BH40" s="580"/>
      <c r="BI40" s="201"/>
      <c r="BK40" s="201"/>
      <c r="BL40" s="201"/>
      <c r="BR40" s="198"/>
      <c r="BS40" s="161"/>
      <c r="BT40" s="202"/>
      <c r="BU40" s="202"/>
    </row>
    <row r="41" spans="1:73" ht="15" hidden="1" customHeight="1" x14ac:dyDescent="0.25">
      <c r="B41" s="233" t="s">
        <v>349</v>
      </c>
      <c r="C41" s="964"/>
      <c r="D41" s="304"/>
      <c r="E41" s="419"/>
      <c r="F41" s="419">
        <v>3</v>
      </c>
      <c r="G41" s="418" t="str">
        <f>+CONCATENATE($C$10,"",$D$11,"",$E$38,"00",F41)</f>
        <v>21.01.005.003</v>
      </c>
      <c r="H41" s="812" t="s">
        <v>97</v>
      </c>
      <c r="I41" s="420">
        <f>+'P01 2025'!F31</f>
        <v>539.06799999999998</v>
      </c>
      <c r="J41" s="420">
        <f>+'P01 2025'!U31</f>
        <v>539.06799999999998</v>
      </c>
      <c r="K41" s="421">
        <f ca="1">SUMIF(T$3:$AG33,"ok",T41:AG41)</f>
        <v>218.404</v>
      </c>
      <c r="L41" s="566">
        <f t="shared" ref="L41:L72" ca="1" si="7">IFERROR(K41/J41,0)</f>
        <v>0.40515111266111142</v>
      </c>
      <c r="M41" s="420">
        <f>+'P01 2025'!W31</f>
        <v>218.404</v>
      </c>
      <c r="N41" s="566">
        <f t="shared" ref="N41:N72" si="8">+IFERROR(M41/J41,0%)</f>
        <v>0.40515111266111142</v>
      </c>
      <c r="O41" s="421">
        <f t="shared" si="4"/>
        <v>320.66399999999999</v>
      </c>
      <c r="P41" s="228">
        <f t="shared" si="2"/>
        <v>0.59484888733888863</v>
      </c>
      <c r="Q41" s="112">
        <f>+'P01 2024'!X31</f>
        <v>812.76</v>
      </c>
      <c r="R41" s="425">
        <f ca="1">SUMIF(T$3:$AG31,"SI",T41:AG41)</f>
        <v>0</v>
      </c>
      <c r="S41" s="227">
        <f t="shared" ca="1" si="5"/>
        <v>0</v>
      </c>
      <c r="T41" s="422">
        <f>+'P01 2025'!G31</f>
        <v>218.404</v>
      </c>
      <c r="U41" s="805">
        <f>+'P01 2024'!K31</f>
        <v>0</v>
      </c>
      <c r="V41" s="805">
        <v>0</v>
      </c>
      <c r="W41" s="882">
        <v>0</v>
      </c>
      <c r="X41" s="944">
        <v>0</v>
      </c>
      <c r="Y41" s="112">
        <v>0</v>
      </c>
      <c r="Z41" s="112">
        <v>0</v>
      </c>
      <c r="AA41" s="427">
        <v>0</v>
      </c>
      <c r="AB41" s="112">
        <v>0</v>
      </c>
      <c r="AC41" s="241">
        <v>0</v>
      </c>
      <c r="AD41" s="112">
        <v>0</v>
      </c>
      <c r="AE41" s="112">
        <v>0</v>
      </c>
      <c r="AF41" s="115">
        <v>0</v>
      </c>
      <c r="AG41" s="1086">
        <f>+'P01 2024'!FL28</f>
        <v>539.06799999999998</v>
      </c>
      <c r="AH41" s="915"/>
      <c r="AI41" s="915"/>
      <c r="AJ41" s="915"/>
      <c r="AK41" s="915"/>
      <c r="AL41" s="916"/>
      <c r="BB41" s="201"/>
      <c r="BE41" s="577"/>
      <c r="BF41" s="577"/>
      <c r="BG41" s="198"/>
      <c r="BH41" s="580"/>
      <c r="BI41" s="201"/>
      <c r="BK41" s="201"/>
      <c r="BL41" s="201"/>
      <c r="BR41" s="198"/>
      <c r="BS41" s="161"/>
      <c r="BT41" s="202"/>
      <c r="BU41" s="202"/>
    </row>
    <row r="42" spans="1:73" s="417" customFormat="1" ht="15" hidden="1" customHeight="1" x14ac:dyDescent="0.25">
      <c r="A42" s="107"/>
      <c r="B42" s="233" t="s">
        <v>350</v>
      </c>
      <c r="C42" s="961"/>
      <c r="D42" s="238" t="s">
        <v>160</v>
      </c>
      <c r="E42" s="47"/>
      <c r="F42" s="47"/>
      <c r="G42" s="47"/>
      <c r="H42" s="618" t="s">
        <v>39</v>
      </c>
      <c r="I42" s="195">
        <f>+'P01 2025'!F32</f>
        <v>17887240.324999999</v>
      </c>
      <c r="J42" s="415">
        <f>+'P01 2025'!U32</f>
        <v>17887240.324999999</v>
      </c>
      <c r="K42" s="415">
        <f ca="1">SUMIF(T$3:$AG34,"ok",T42:AG42)</f>
        <v>2445376.3810000001</v>
      </c>
      <c r="L42" s="562">
        <f t="shared" ca="1" si="7"/>
        <v>0.13671065723773129</v>
      </c>
      <c r="M42" s="415">
        <f>+'P01 2025'!W32</f>
        <v>2445376.3810000001</v>
      </c>
      <c r="N42" s="562">
        <f t="shared" si="8"/>
        <v>0.13671065723773129</v>
      </c>
      <c r="O42" s="415">
        <f t="shared" ref="O42:O73" si="9">J42-M42</f>
        <v>15441863.943999998</v>
      </c>
      <c r="P42" s="691">
        <f t="shared" si="2"/>
        <v>0.86328934276226865</v>
      </c>
      <c r="Q42" s="109">
        <f>+'P01 2024'!X32</f>
        <v>17717147.361000001</v>
      </c>
      <c r="R42" s="109">
        <f ca="1">SUMIF(T$3:$AG34,"SI",T42:AG42)</f>
        <v>2352332.7379660001</v>
      </c>
      <c r="S42" s="562">
        <f t="shared" ca="1" si="5"/>
        <v>0.13277152862339958</v>
      </c>
      <c r="T42" s="806">
        <f>+'P01 2025'!G32</f>
        <v>1228669.4210000001</v>
      </c>
      <c r="U42" s="804">
        <f>+'P01 2024'!K32</f>
        <v>1168404.7688780001</v>
      </c>
      <c r="V42" s="804">
        <f>+'P01 2025'!N20</f>
        <v>1216706.96</v>
      </c>
      <c r="W42" s="110">
        <f>+'P01 2024'!Q21</f>
        <v>1183927.969088</v>
      </c>
      <c r="X42" s="943">
        <f>+'P01 2024'!AE26</f>
        <v>2030654.4650000001</v>
      </c>
      <c r="Y42" s="111">
        <f>+'P01 2024'!AT21</f>
        <v>1165209.57</v>
      </c>
      <c r="Z42" s="111">
        <f>+'P01 2024'!BI21</f>
        <v>1156670.301</v>
      </c>
      <c r="AA42" s="111">
        <f>+'P01 2024'!BX27</f>
        <v>2080437.6</v>
      </c>
      <c r="AB42" s="111">
        <f>+'P01 2024'!CM27</f>
        <v>1178338.578</v>
      </c>
      <c r="AC42" s="109">
        <f>+'P01 2024'!DB27</f>
        <v>1179380.537</v>
      </c>
      <c r="AD42" s="111">
        <f>+'P01 2024'!DR27</f>
        <v>2109184.6069999998</v>
      </c>
      <c r="AE42" s="111">
        <f>AE43+AE57+AE60+AE64+AE69</f>
        <v>1166134.736</v>
      </c>
      <c r="AF42" s="111">
        <f>+'P01 2024'!ET21</f>
        <v>1172015.9080000001</v>
      </c>
      <c r="AG42" s="1006">
        <f>+'P01 2024'!FL29</f>
        <v>2202884.5109999999</v>
      </c>
      <c r="AH42" s="915"/>
      <c r="AI42" s="915"/>
      <c r="AJ42" s="915"/>
      <c r="AK42" s="915"/>
      <c r="AL42" s="916"/>
      <c r="AM42" s="210"/>
      <c r="AN42" s="210"/>
      <c r="AO42" s="210"/>
      <c r="AP42" s="210"/>
      <c r="AQ42" s="210"/>
      <c r="AR42" s="210"/>
      <c r="AS42" s="210"/>
      <c r="AT42" s="210"/>
      <c r="AU42" s="210"/>
      <c r="AV42" s="210"/>
      <c r="AW42" s="210"/>
      <c r="AX42" s="201"/>
      <c r="AY42" s="201"/>
      <c r="AZ42" s="201"/>
      <c r="BA42" s="201"/>
      <c r="BB42" s="201"/>
      <c r="BC42" s="905"/>
      <c r="BD42" s="905"/>
      <c r="BE42" s="577"/>
      <c r="BF42" s="577"/>
      <c r="BG42" s="198"/>
      <c r="BH42" s="580"/>
      <c r="BI42" s="201"/>
      <c r="BJ42" s="210"/>
      <c r="BK42" s="201"/>
      <c r="BL42" s="201"/>
      <c r="BM42" s="210"/>
      <c r="BN42" s="210"/>
      <c r="BO42" s="210"/>
      <c r="BP42" s="210"/>
      <c r="BQ42" s="201"/>
      <c r="BR42" s="198"/>
      <c r="BS42" s="161"/>
      <c r="BT42" s="202"/>
      <c r="BU42" s="202"/>
    </row>
    <row r="43" spans="1:73" s="417" customFormat="1" ht="15" hidden="1" customHeight="1" x14ac:dyDescent="0.25">
      <c r="A43" s="107"/>
      <c r="B43" s="233" t="s">
        <v>351</v>
      </c>
      <c r="C43" s="961"/>
      <c r="D43" s="238"/>
      <c r="E43" s="47" t="s">
        <v>154</v>
      </c>
      <c r="F43" s="47"/>
      <c r="G43" s="47"/>
      <c r="H43" s="618" t="s">
        <v>18</v>
      </c>
      <c r="I43" s="195">
        <f>+'P01 2025'!F33</f>
        <v>15141014.982000001</v>
      </c>
      <c r="J43" s="415">
        <f>+'P01 2025'!U33</f>
        <v>15141014.982000001</v>
      </c>
      <c r="K43" s="415">
        <f ca="1">SUMIF(T$3:$AG35,"ok",T43:AG43)</f>
        <v>2272792.966</v>
      </c>
      <c r="L43" s="562">
        <f t="shared" ca="1" si="7"/>
        <v>0.15010836253064608</v>
      </c>
      <c r="M43" s="415">
        <f>+'P01 2025'!W33</f>
        <v>2272792.966</v>
      </c>
      <c r="N43" s="562">
        <f t="shared" si="8"/>
        <v>0.15010836253064608</v>
      </c>
      <c r="O43" s="415">
        <f t="shared" si="9"/>
        <v>12868222.016000001</v>
      </c>
      <c r="P43" s="691">
        <f t="shared" si="2"/>
        <v>0.84989163746935392</v>
      </c>
      <c r="Q43" s="109">
        <f>+'P01 2024'!X33</f>
        <v>15194902.48</v>
      </c>
      <c r="R43" s="109">
        <f ca="1">SUM(R44:R56)</f>
        <v>2203205.1230200003</v>
      </c>
      <c r="S43" s="562">
        <f t="shared" ca="1" si="5"/>
        <v>0.14499633188958777</v>
      </c>
      <c r="T43" s="806">
        <f>+'P01 2025'!G33</f>
        <v>1126633.4950000001</v>
      </c>
      <c r="U43" s="804">
        <f>+'P01 2024'!K33</f>
        <v>1099727.575248</v>
      </c>
      <c r="V43" s="804">
        <f>+'P01 2025'!N21</f>
        <v>1146159.4709999999</v>
      </c>
      <c r="W43" s="110">
        <f>+'P01 2024'!Q22</f>
        <v>1103477.5477720001</v>
      </c>
      <c r="X43" s="943">
        <f>+'P01 2024'!AE27</f>
        <v>1550516.9990000001</v>
      </c>
      <c r="Y43" s="111">
        <f>+'P01 2024'!AT22</f>
        <v>1083092.5220000001</v>
      </c>
      <c r="Z43" s="111">
        <f>+'P01 2024'!BI22</f>
        <v>1079853.571</v>
      </c>
      <c r="AA43" s="111">
        <f>+'P01 2024'!BX28</f>
        <v>1584988.48</v>
      </c>
      <c r="AB43" s="111">
        <f>+'P01 2024'!CM28</f>
        <v>1093977.6640000001</v>
      </c>
      <c r="AC43" s="109">
        <f>+'P01 2024'!DB28</f>
        <v>1091330.69</v>
      </c>
      <c r="AD43" s="111">
        <f>+'P01 2024'!DR28</f>
        <v>1598754.25</v>
      </c>
      <c r="AE43" s="111">
        <f>SUM(AE44:AE56)</f>
        <v>1089682.3609999998</v>
      </c>
      <c r="AF43" s="111">
        <f>+'P01 2024'!ET22</f>
        <v>1090253.0989999999</v>
      </c>
      <c r="AG43" s="1006">
        <f>+'P01 2024'!FL30</f>
        <v>1628256.9509999999</v>
      </c>
      <c r="AH43" s="915"/>
      <c r="AI43" s="915"/>
      <c r="AJ43" s="915"/>
      <c r="AK43" s="915"/>
      <c r="AL43" s="916"/>
      <c r="AM43" s="210"/>
      <c r="AN43" s="210"/>
      <c r="AO43" s="210"/>
      <c r="AP43" s="210"/>
      <c r="AQ43" s="210"/>
      <c r="AR43" s="210"/>
      <c r="AS43" s="210"/>
      <c r="AT43" s="210"/>
      <c r="AU43" s="210"/>
      <c r="AV43" s="210"/>
      <c r="AW43" s="210"/>
      <c r="AX43" s="201"/>
      <c r="AY43" s="201"/>
      <c r="AZ43" s="201"/>
      <c r="BA43" s="201"/>
      <c r="BB43" s="201"/>
      <c r="BC43" s="905"/>
      <c r="BD43" s="905"/>
      <c r="BE43" s="577"/>
      <c r="BF43" s="577"/>
      <c r="BG43" s="198"/>
      <c r="BH43" s="580"/>
      <c r="BI43" s="201"/>
      <c r="BJ43" s="210"/>
      <c r="BK43" s="201"/>
      <c r="BL43" s="201"/>
      <c r="BM43" s="210"/>
      <c r="BN43" s="210"/>
      <c r="BO43" s="210"/>
      <c r="BP43" s="210"/>
      <c r="BQ43" s="201"/>
      <c r="BR43" s="198"/>
      <c r="BS43" s="161"/>
      <c r="BT43" s="202"/>
      <c r="BU43" s="202"/>
    </row>
    <row r="44" spans="1:73" ht="15" hidden="1" customHeight="1" x14ac:dyDescent="0.25">
      <c r="B44" s="233" t="s">
        <v>352</v>
      </c>
      <c r="C44" s="964"/>
      <c r="D44" s="304"/>
      <c r="E44" s="419"/>
      <c r="F44" s="419">
        <v>1</v>
      </c>
      <c r="G44" s="418" t="str">
        <f t="shared" ref="G44:G49" si="10">+CONCATENATE($C$10,"",$D$42,"",$E$43,"00",F44)</f>
        <v>21.02.001.001</v>
      </c>
      <c r="H44" s="812" t="s">
        <v>586</v>
      </c>
      <c r="I44" s="420">
        <f>+'P01 2025'!F34</f>
        <v>3247279.827</v>
      </c>
      <c r="J44" s="420">
        <f>+'P01 2025'!U34</f>
        <v>3247279.827</v>
      </c>
      <c r="K44" s="421">
        <f ca="1">SUMIF(T$3:$AG36,"ok",T44:AG44)</f>
        <v>544172.821</v>
      </c>
      <c r="L44" s="566">
        <f t="shared" ca="1" si="7"/>
        <v>0.16757804993440745</v>
      </c>
      <c r="M44" s="420">
        <f>+'P01 2025'!W34</f>
        <v>544172.821</v>
      </c>
      <c r="N44" s="566">
        <f t="shared" si="8"/>
        <v>0.16757804993440745</v>
      </c>
      <c r="O44" s="421">
        <f t="shared" si="9"/>
        <v>2703107.0060000001</v>
      </c>
      <c r="P44" s="228">
        <f t="shared" si="2"/>
        <v>0.8324219500655925</v>
      </c>
      <c r="Q44" s="112">
        <f>+'P01 2024'!X34</f>
        <v>3454192.7672560001</v>
      </c>
      <c r="R44" s="425">
        <f ca="1">SUMIF(T$3:$AG36,"SI",T44:AG44)</f>
        <v>527455.10559800011</v>
      </c>
      <c r="S44" s="227">
        <f t="shared" ca="1" si="5"/>
        <v>0.15269996237558242</v>
      </c>
      <c r="T44" s="422">
        <f>+'P01 2025'!G34</f>
        <v>269720.89799999999</v>
      </c>
      <c r="U44" s="805">
        <f>+'P01 2024'!K34</f>
        <v>263287.49067000003</v>
      </c>
      <c r="V44" s="805">
        <f>+'P01 2025'!N22</f>
        <v>274451.92300000001</v>
      </c>
      <c r="W44" s="422">
        <f>+'P01 2024'!Q23</f>
        <v>264167.61492800002</v>
      </c>
      <c r="X44" s="944">
        <f>+'P01 2024'!AE28</f>
        <v>254715.76199999999</v>
      </c>
      <c r="Y44" s="112">
        <f>+'P01 2024'!AT23</f>
        <v>258085.28599999999</v>
      </c>
      <c r="Z44" s="112">
        <f>+'P01 2024'!BI23</f>
        <v>258233.33</v>
      </c>
      <c r="AA44" s="112">
        <f>+'P01 2024'!BX29</f>
        <v>261152.524</v>
      </c>
      <c r="AB44" s="112">
        <f>+'P01 2024'!CM29</f>
        <v>261775.83</v>
      </c>
      <c r="AC44" s="241">
        <f>+'P01 2024'!DB29</f>
        <v>260736.66399999999</v>
      </c>
      <c r="AD44" s="112">
        <f>+'P01 2024'!DR29</f>
        <v>261049.96799999999</v>
      </c>
      <c r="AE44" s="112">
        <f>'P01 2024'!EG24</f>
        <v>261037.18599999999</v>
      </c>
      <c r="AF44" s="115">
        <f>+'P01 2024'!ET23</f>
        <v>261171.514</v>
      </c>
      <c r="AG44" s="1087">
        <f>+'P01 2024'!FL31</f>
        <v>267675.48800000001</v>
      </c>
      <c r="AH44" s="915"/>
      <c r="AI44" s="915"/>
      <c r="AJ44" s="915"/>
      <c r="AK44" s="915"/>
      <c r="AL44" s="916"/>
      <c r="BB44" s="201"/>
      <c r="BE44" s="577"/>
      <c r="BF44" s="577"/>
      <c r="BG44" s="198"/>
      <c r="BH44" s="580"/>
      <c r="BI44" s="201"/>
      <c r="BK44" s="201"/>
      <c r="BL44" s="201"/>
      <c r="BR44" s="198"/>
      <c r="BS44" s="161"/>
      <c r="BT44" s="202"/>
      <c r="BU44" s="202"/>
    </row>
    <row r="45" spans="1:73" ht="15" hidden="1" customHeight="1" x14ac:dyDescent="0.25">
      <c r="B45" s="233" t="s">
        <v>535</v>
      </c>
      <c r="C45" s="964"/>
      <c r="D45" s="304"/>
      <c r="E45" s="419"/>
      <c r="F45" s="419">
        <v>2</v>
      </c>
      <c r="G45" s="418" t="str">
        <f t="shared" si="10"/>
        <v>21.02.001.002</v>
      </c>
      <c r="H45" s="812" t="s">
        <v>19</v>
      </c>
      <c r="I45" s="420">
        <f>+'P01 2025'!F35</f>
        <v>144871.696</v>
      </c>
      <c r="J45" s="420">
        <f>+'P01 2025'!U35</f>
        <v>144871.696</v>
      </c>
      <c r="K45" s="421">
        <f ca="1">SUMIF(T$3:$AG37,"ok",T45:AG45)</f>
        <v>25449.965</v>
      </c>
      <c r="L45" s="566">
        <f t="shared" ca="1" si="7"/>
        <v>0.17567244467131798</v>
      </c>
      <c r="M45" s="420">
        <f>+'P01 2025'!W35</f>
        <v>25449.965</v>
      </c>
      <c r="N45" s="566">
        <f t="shared" si="8"/>
        <v>0.17567244467131798</v>
      </c>
      <c r="O45" s="421">
        <f t="shared" si="9"/>
        <v>119421.731</v>
      </c>
      <c r="P45" s="228">
        <f t="shared" si="2"/>
        <v>0.82432755532868207</v>
      </c>
      <c r="Q45" s="112">
        <f>+'P01 2024'!X35</f>
        <v>136752.08000000002</v>
      </c>
      <c r="R45" s="425">
        <f ca="1">SUMIF(T$3:$AG37,"SI",T45:AG45)</f>
        <v>25363.784648000001</v>
      </c>
      <c r="S45" s="227">
        <f t="shared" ca="1" si="5"/>
        <v>0.18547275220969214</v>
      </c>
      <c r="T45" s="422">
        <f>+'P01 2025'!G35</f>
        <v>12715.373</v>
      </c>
      <c r="U45" s="805">
        <f>+'P01 2024'!K35</f>
        <v>12646.526844</v>
      </c>
      <c r="V45" s="805">
        <f>+'P01 2025'!N23</f>
        <v>12734.592000000001</v>
      </c>
      <c r="W45" s="422">
        <f>+'P01 2024'!Q24</f>
        <v>12717.257804000001</v>
      </c>
      <c r="X45" s="944">
        <f>+'P01 2024'!AE29</f>
        <v>12171.579</v>
      </c>
      <c r="Y45" s="112">
        <f>+'P01 2024'!AT24</f>
        <v>11949.147000000001</v>
      </c>
      <c r="Z45" s="112">
        <f>+'P01 2024'!BI24</f>
        <v>11728.101000000001</v>
      </c>
      <c r="AA45" s="112">
        <f>+'P01 2024'!BX30</f>
        <v>11855.183000000001</v>
      </c>
      <c r="AB45" s="112">
        <f>+'P01 2024'!CM30</f>
        <v>11823.294</v>
      </c>
      <c r="AC45" s="241">
        <f>+'P01 2024'!DB30</f>
        <v>11908.945</v>
      </c>
      <c r="AD45" s="112">
        <f>+'P01 2024'!DR30</f>
        <v>12064.635</v>
      </c>
      <c r="AE45" s="112">
        <f>'P01 2024'!EG25</f>
        <v>12102.164000000001</v>
      </c>
      <c r="AF45" s="115">
        <f>+'P01 2024'!ET24</f>
        <v>12244.607</v>
      </c>
      <c r="AG45" s="1087">
        <f>+'P01 2024'!FL32</f>
        <v>12681.06</v>
      </c>
      <c r="AH45" s="915"/>
      <c r="AI45" s="915"/>
      <c r="AJ45" s="915"/>
      <c r="AK45" s="915"/>
      <c r="AL45" s="916"/>
      <c r="BB45" s="201"/>
      <c r="BE45" s="577"/>
      <c r="BF45" s="577"/>
      <c r="BG45" s="198"/>
      <c r="BH45" s="580"/>
      <c r="BI45" s="201"/>
      <c r="BK45" s="201"/>
      <c r="BL45" s="201"/>
      <c r="BR45" s="198"/>
      <c r="BS45" s="161"/>
      <c r="BT45" s="202"/>
      <c r="BU45" s="202"/>
    </row>
    <row r="46" spans="1:73" ht="15" hidden="1" customHeight="1" x14ac:dyDescent="0.25">
      <c r="B46" s="233" t="s">
        <v>353</v>
      </c>
      <c r="C46" s="964"/>
      <c r="D46" s="304"/>
      <c r="E46" s="419"/>
      <c r="F46" s="419">
        <v>3</v>
      </c>
      <c r="G46" s="418" t="str">
        <f t="shared" si="10"/>
        <v>21.02.001.003</v>
      </c>
      <c r="H46" s="812" t="s">
        <v>20</v>
      </c>
      <c r="I46" s="420">
        <f>+'P01 2025'!F36</f>
        <v>2214042.253</v>
      </c>
      <c r="J46" s="420">
        <f>+'P01 2025'!U36</f>
        <v>2214042.253</v>
      </c>
      <c r="K46" s="421">
        <f ca="1">SUMIF(T$3:$AG38,"ok",T46:AG46)</f>
        <v>386532.06199999998</v>
      </c>
      <c r="L46" s="566">
        <f t="shared" ca="1" si="7"/>
        <v>0.1745820620524535</v>
      </c>
      <c r="M46" s="420">
        <f>+'P01 2025'!W36</f>
        <v>386532.06199999998</v>
      </c>
      <c r="N46" s="566">
        <f t="shared" si="8"/>
        <v>0.1745820620524535</v>
      </c>
      <c r="O46" s="421">
        <f t="shared" si="9"/>
        <v>1827510.1910000001</v>
      </c>
      <c r="P46" s="228">
        <f t="shared" si="2"/>
        <v>0.82541793794754648</v>
      </c>
      <c r="Q46" s="112">
        <f>+'P01 2024'!X36</f>
        <v>2170600.62</v>
      </c>
      <c r="R46" s="425">
        <f ca="1">SUMIF(T$3:$AG38,"SI",T46:AG46)</f>
        <v>374107.34272000002</v>
      </c>
      <c r="S46" s="227">
        <f t="shared" ca="1" si="5"/>
        <v>0.17235199293364248</v>
      </c>
      <c r="T46" s="422">
        <f>+'P01 2025'!G36</f>
        <v>191403.06099999999</v>
      </c>
      <c r="U46" s="805">
        <f>+'P01 2024'!K36</f>
        <v>186715.3027</v>
      </c>
      <c r="V46" s="805">
        <f>+'P01 2025'!N24</f>
        <v>195129.00099999999</v>
      </c>
      <c r="W46" s="422">
        <f>+'P01 2024'!Q25</f>
        <v>187392.04002000001</v>
      </c>
      <c r="X46" s="944">
        <f>+'P01 2024'!AE30</f>
        <v>180662.82500000001</v>
      </c>
      <c r="Y46" s="112">
        <f>+'P01 2024'!AT25</f>
        <v>184523.508</v>
      </c>
      <c r="Z46" s="112">
        <f>+'P01 2024'!BI25</f>
        <v>184016.93799999999</v>
      </c>
      <c r="AA46" s="112">
        <f>+'P01 2024'!BX31</f>
        <v>185908.38699999999</v>
      </c>
      <c r="AB46" s="112">
        <f>+'P01 2024'!CM31</f>
        <v>186248.31899999999</v>
      </c>
      <c r="AC46" s="241">
        <f>+'P01 2024'!DB31</f>
        <v>185857.97500000001</v>
      </c>
      <c r="AD46" s="112">
        <f>+'P01 2024'!DR31</f>
        <v>186622.986</v>
      </c>
      <c r="AE46" s="112">
        <f>'P01 2024'!EG26</f>
        <v>184979.38800000001</v>
      </c>
      <c r="AF46" s="115">
        <f>+'P01 2024'!ET25</f>
        <v>185524.48000000001</v>
      </c>
      <c r="AG46" s="1087">
        <f>+'P01 2024'!FL33</f>
        <v>190611.50899999999</v>
      </c>
      <c r="AH46" s="915"/>
      <c r="AI46" s="915"/>
      <c r="AJ46" s="915"/>
      <c r="AK46" s="915"/>
      <c r="AL46" s="916"/>
      <c r="BB46" s="201"/>
      <c r="BE46" s="577"/>
      <c r="BF46" s="577"/>
      <c r="BG46" s="198"/>
      <c r="BH46" s="580"/>
      <c r="BI46" s="201"/>
      <c r="BK46" s="201"/>
      <c r="BL46" s="201"/>
      <c r="BR46" s="198"/>
      <c r="BS46" s="161"/>
      <c r="BT46" s="202"/>
      <c r="BU46" s="202"/>
    </row>
    <row r="47" spans="1:73" ht="15" hidden="1" customHeight="1" x14ac:dyDescent="0.25">
      <c r="B47" s="233" t="s">
        <v>354</v>
      </c>
      <c r="C47" s="964"/>
      <c r="D47" s="304"/>
      <c r="E47" s="419"/>
      <c r="F47" s="419">
        <v>4</v>
      </c>
      <c r="G47" s="418" t="str">
        <f t="shared" si="10"/>
        <v>21.02.001.004</v>
      </c>
      <c r="H47" s="812" t="s">
        <v>21</v>
      </c>
      <c r="I47" s="420">
        <f>+'P01 2025'!F37</f>
        <v>289402.63799999998</v>
      </c>
      <c r="J47" s="420">
        <f>+'P01 2025'!U37</f>
        <v>289402.63799999998</v>
      </c>
      <c r="K47" s="421">
        <f ca="1">SUMIF(T$3:$AG39,"ok",T47:AG47)</f>
        <v>49665.553</v>
      </c>
      <c r="L47" s="566">
        <f t="shared" ca="1" si="7"/>
        <v>0.17161403000065259</v>
      </c>
      <c r="M47" s="420">
        <f>+'P01 2025'!W37</f>
        <v>49665.553</v>
      </c>
      <c r="N47" s="566">
        <f t="shared" si="8"/>
        <v>0.17161403000065259</v>
      </c>
      <c r="O47" s="421">
        <f t="shared" si="9"/>
        <v>239737.08499999996</v>
      </c>
      <c r="P47" s="228">
        <f t="shared" si="2"/>
        <v>0.82838596999934733</v>
      </c>
      <c r="Q47" s="112">
        <f>+'P01 2024'!X37</f>
        <v>288738.2</v>
      </c>
      <c r="R47" s="425">
        <f ca="1">SUMIF(T$3:$AG39,"SI",T47:AG47)</f>
        <v>49455.466520000002</v>
      </c>
      <c r="S47" s="227">
        <f t="shared" ca="1" si="5"/>
        <v>0.17128134247564056</v>
      </c>
      <c r="T47" s="422">
        <f>+'P01 2025'!G37</f>
        <v>25083.486000000001</v>
      </c>
      <c r="U47" s="805">
        <f>+'P01 2024'!K37</f>
        <v>24727.733260000001</v>
      </c>
      <c r="V47" s="805">
        <f>+'P01 2025'!N25</f>
        <v>24582.066999999999</v>
      </c>
      <c r="W47" s="422">
        <f>+'P01 2024'!Q26</f>
        <v>24727.733260000001</v>
      </c>
      <c r="X47" s="944">
        <f>+'P01 2024'!AE31</f>
        <v>23828.206999999999</v>
      </c>
      <c r="Y47" s="112">
        <f>+'P01 2024'!AT26</f>
        <v>24479.553</v>
      </c>
      <c r="Z47" s="112">
        <f>+'P01 2024'!BI26</f>
        <v>24161.956999999999</v>
      </c>
      <c r="AA47" s="112">
        <f>+'P01 2024'!BX32</f>
        <v>24531.343000000001</v>
      </c>
      <c r="AB47" s="112">
        <f>+'P01 2024'!CM32</f>
        <v>24189.52</v>
      </c>
      <c r="AC47" s="241">
        <f>+'P01 2024'!DB32</f>
        <v>24184.69</v>
      </c>
      <c r="AD47" s="112">
        <f>+'P01 2024'!DR32</f>
        <v>24209.991999999998</v>
      </c>
      <c r="AE47" s="112">
        <f>'P01 2024'!EG27</f>
        <v>24711.469000000001</v>
      </c>
      <c r="AF47" s="115">
        <f>+'P01 2024'!ET26</f>
        <v>23620.608</v>
      </c>
      <c r="AG47" s="1087">
        <f>+'P01 2024'!FL34</f>
        <v>24021.701000000001</v>
      </c>
      <c r="AH47" s="915"/>
      <c r="AI47" s="915"/>
      <c r="AJ47" s="915"/>
      <c r="AK47" s="915"/>
      <c r="AL47" s="916"/>
      <c r="BB47" s="201"/>
      <c r="BE47" s="577"/>
      <c r="BF47" s="577"/>
      <c r="BG47" s="198"/>
      <c r="BH47" s="580"/>
      <c r="BI47" s="201"/>
      <c r="BK47" s="201"/>
      <c r="BL47" s="201"/>
      <c r="BR47" s="198"/>
      <c r="BS47" s="161"/>
      <c r="BT47" s="202"/>
      <c r="BU47" s="202"/>
    </row>
    <row r="48" spans="1:73" ht="15" hidden="1" customHeight="1" x14ac:dyDescent="0.25">
      <c r="B48" s="233" t="s">
        <v>536</v>
      </c>
      <c r="C48" s="964"/>
      <c r="D48" s="304"/>
      <c r="E48" s="419"/>
      <c r="F48" s="419">
        <v>6</v>
      </c>
      <c r="G48" s="418" t="str">
        <f t="shared" si="10"/>
        <v>21.02.001.006</v>
      </c>
      <c r="H48" s="896" t="s">
        <v>99</v>
      </c>
      <c r="I48" s="436">
        <v>0</v>
      </c>
      <c r="J48" s="436">
        <v>0</v>
      </c>
      <c r="K48" s="436">
        <f ca="1">SUMIF(T$3:$AG40,"ok",T48:AG48)</f>
        <v>0</v>
      </c>
      <c r="L48" s="565">
        <f t="shared" ca="1" si="7"/>
        <v>0</v>
      </c>
      <c r="M48" s="436">
        <v>0</v>
      </c>
      <c r="N48" s="565">
        <f t="shared" si="8"/>
        <v>0</v>
      </c>
      <c r="O48" s="557">
        <f t="shared" si="9"/>
        <v>0</v>
      </c>
      <c r="P48" s="228">
        <f t="shared" si="2"/>
        <v>0</v>
      </c>
      <c r="Q48" s="112">
        <v>0</v>
      </c>
      <c r="R48" s="428">
        <f ca="1">SUMIF(T$3:$AG40,"SI",T48:AG48)</f>
        <v>0</v>
      </c>
      <c r="S48" s="227" t="str">
        <f t="shared" ca="1" si="5"/>
        <v>0,00%</v>
      </c>
      <c r="T48" s="422">
        <v>0</v>
      </c>
      <c r="U48" s="805">
        <v>0</v>
      </c>
      <c r="V48" s="805">
        <v>0</v>
      </c>
      <c r="W48" s="422">
        <v>0</v>
      </c>
      <c r="X48" s="944">
        <v>0</v>
      </c>
      <c r="Y48" s="112">
        <v>0</v>
      </c>
      <c r="Z48" s="112">
        <v>0</v>
      </c>
      <c r="AA48" s="112">
        <v>0</v>
      </c>
      <c r="AB48" s="112">
        <v>0</v>
      </c>
      <c r="AC48" s="241">
        <v>0</v>
      </c>
      <c r="AD48" s="112">
        <v>0</v>
      </c>
      <c r="AE48" s="112">
        <v>0</v>
      </c>
      <c r="AF48" s="115">
        <v>0</v>
      </c>
      <c r="AG48" s="1086">
        <v>0</v>
      </c>
      <c r="AH48" s="915"/>
      <c r="AI48" s="915"/>
      <c r="AJ48" s="915"/>
      <c r="AK48" s="915"/>
      <c r="AL48" s="916"/>
      <c r="BB48" s="201"/>
      <c r="BE48" s="577"/>
      <c r="BF48" s="577"/>
      <c r="BG48" s="198"/>
      <c r="BH48" s="580"/>
      <c r="BI48" s="201"/>
      <c r="BK48" s="201"/>
      <c r="BL48" s="201"/>
      <c r="BR48" s="198"/>
      <c r="BS48" s="161"/>
      <c r="BT48" s="202"/>
      <c r="BU48" s="202"/>
    </row>
    <row r="49" spans="1:73" ht="15" hidden="1" customHeight="1" x14ac:dyDescent="0.25">
      <c r="B49" s="233" t="s">
        <v>537</v>
      </c>
      <c r="C49" s="964"/>
      <c r="D49" s="304"/>
      <c r="E49" s="419"/>
      <c r="F49" s="419">
        <v>7</v>
      </c>
      <c r="G49" s="418" t="str">
        <f t="shared" si="10"/>
        <v>21.02.001.007</v>
      </c>
      <c r="H49" s="812" t="s">
        <v>100</v>
      </c>
      <c r="I49" s="420">
        <f>+'P01 2025'!F38</f>
        <v>149822.50099999999</v>
      </c>
      <c r="J49" s="420">
        <f>+'P01 2025'!U38</f>
        <v>149822.50099999999</v>
      </c>
      <c r="K49" s="429">
        <f ca="1">SUMIF(T$3:$AG41,"ok",T49:AG49)</f>
        <v>18985.718000000001</v>
      </c>
      <c r="L49" s="568">
        <f t="shared" ca="1" si="7"/>
        <v>0.12672140615247107</v>
      </c>
      <c r="M49" s="420">
        <f>+'P01 2025'!W38</f>
        <v>18985.718000000001</v>
      </c>
      <c r="N49" s="566">
        <f t="shared" si="8"/>
        <v>0.12672140615247107</v>
      </c>
      <c r="O49" s="421">
        <f t="shared" si="9"/>
        <v>130836.783</v>
      </c>
      <c r="P49" s="228">
        <f t="shared" si="2"/>
        <v>0.87327859384752904</v>
      </c>
      <c r="Q49" s="112">
        <f>+'P01 2024'!X38</f>
        <v>147557.62</v>
      </c>
      <c r="R49" s="425">
        <f ca="1">SUMIF(T$3:$AG41,"SI",T49:AG49)</f>
        <v>26882.996682000005</v>
      </c>
      <c r="S49" s="227">
        <f t="shared" ref="S49:S83" ca="1" si="11">IFERROR(R49/Q49,"0,00%")</f>
        <v>0.18218643457382958</v>
      </c>
      <c r="T49" s="422">
        <f>+'P01 2025'!G38</f>
        <v>9492.8590000000004</v>
      </c>
      <c r="U49" s="805">
        <f>+'P01 2024'!K38</f>
        <v>13287.280778000002</v>
      </c>
      <c r="V49" s="805">
        <f>+'P01 2025'!N26</f>
        <v>9492.8590000000004</v>
      </c>
      <c r="W49" s="422">
        <f>+'P01 2024'!Q27</f>
        <v>13595.715904000001</v>
      </c>
      <c r="X49" s="944">
        <f>+'P01 2024'!AE32</f>
        <v>11786.941999999999</v>
      </c>
      <c r="Y49" s="112">
        <f>+'P01 2024'!AT27</f>
        <v>11786.941999999999</v>
      </c>
      <c r="Z49" s="112">
        <f>+'P01 2024'!BI27</f>
        <v>11786.941999999999</v>
      </c>
      <c r="AA49" s="112">
        <f>+'P01 2024'!BX33</f>
        <v>11845.880999999999</v>
      </c>
      <c r="AB49" s="112">
        <f>+'P01 2024'!CM33</f>
        <v>11843.946</v>
      </c>
      <c r="AC49" s="241">
        <f>+'P01 2024'!DB33</f>
        <v>11839.116</v>
      </c>
      <c r="AD49" s="112">
        <f>+'P01 2024'!DR33</f>
        <v>15704.370999999999</v>
      </c>
      <c r="AE49" s="112">
        <f>'P01 2024'!EG28</f>
        <v>12370.507</v>
      </c>
      <c r="AF49" s="115">
        <f>+'P01 2024'!ET27</f>
        <v>12316.456</v>
      </c>
      <c r="AG49" s="1086">
        <f>+'P01 2024'!FL35</f>
        <v>12740.439</v>
      </c>
      <c r="AH49" s="915"/>
      <c r="AI49" s="915"/>
      <c r="AJ49" s="915"/>
      <c r="AK49" s="915"/>
      <c r="AL49" s="916"/>
      <c r="BB49" s="201"/>
      <c r="BE49" s="577"/>
      <c r="BF49" s="577"/>
      <c r="BG49" s="198"/>
      <c r="BH49" s="580"/>
      <c r="BI49" s="201"/>
      <c r="BK49" s="201"/>
      <c r="BL49" s="201"/>
      <c r="BR49" s="198"/>
      <c r="BS49" s="161"/>
      <c r="BT49" s="202"/>
      <c r="BU49" s="202"/>
    </row>
    <row r="50" spans="1:73" ht="15" hidden="1" customHeight="1" x14ac:dyDescent="0.25">
      <c r="B50" s="233" t="s">
        <v>538</v>
      </c>
      <c r="C50" s="964"/>
      <c r="D50" s="304"/>
      <c r="E50" s="419"/>
      <c r="F50" s="419">
        <v>13</v>
      </c>
      <c r="G50" s="418" t="str">
        <f t="shared" ref="G50:G56" si="12">+CONCATENATE($C$10,"",$D$42,"",$E$43,"0",F50)</f>
        <v>21.02.001.013</v>
      </c>
      <c r="H50" s="812" t="s">
        <v>24</v>
      </c>
      <c r="I50" s="807">
        <f>+'P01 2025'!F39</f>
        <v>2483515.6749999998</v>
      </c>
      <c r="J50" s="420">
        <f>+'P01 2025'!U39</f>
        <v>2483515.6749999998</v>
      </c>
      <c r="K50" s="429">
        <f ca="1">SUMIF(T$3:$AG42,"ok",T50:AG50)</f>
        <v>368612.16200000001</v>
      </c>
      <c r="L50" s="568">
        <f t="shared" ca="1" si="7"/>
        <v>0.14842352947903178</v>
      </c>
      <c r="M50" s="420">
        <f>+'P01 2025'!W39</f>
        <v>368612.16200000001</v>
      </c>
      <c r="N50" s="566">
        <f t="shared" si="8"/>
        <v>0.14842352947903178</v>
      </c>
      <c r="O50" s="421">
        <f t="shared" si="9"/>
        <v>2114903.5129999998</v>
      </c>
      <c r="P50" s="228">
        <f t="shared" si="2"/>
        <v>0.85157647052096819</v>
      </c>
      <c r="Q50" s="112">
        <f>+'P01 2024'!X39</f>
        <v>2422754.2000000002</v>
      </c>
      <c r="R50" s="425">
        <f ca="1">SUMIF(T$3:$AG42,"SI",T50:AG50)</f>
        <v>357322.70877199998</v>
      </c>
      <c r="S50" s="227">
        <f t="shared" ca="1" si="11"/>
        <v>0.14748615801470902</v>
      </c>
      <c r="T50" s="422">
        <f>+'P01 2025'!G39</f>
        <v>182584.842</v>
      </c>
      <c r="U50" s="805">
        <f>+'P01 2024'!K39</f>
        <v>178377.47711599999</v>
      </c>
      <c r="V50" s="805">
        <f>+'P01 2025'!N27</f>
        <v>186027.32</v>
      </c>
      <c r="W50" s="882">
        <f>+'P01 2024'!Q28</f>
        <v>178945.23165599999</v>
      </c>
      <c r="X50" s="944">
        <f>+'P01 2024'!AE33</f>
        <v>262203.43800000002</v>
      </c>
      <c r="Y50" s="112">
        <f>+'P01 2024'!AT28</f>
        <v>175870.465</v>
      </c>
      <c r="Z50" s="112">
        <f>+'P01 2024'!BI28</f>
        <v>175271.28099999999</v>
      </c>
      <c r="AA50" s="112">
        <f>+'P01 2024'!BX34</f>
        <v>265862.66100000002</v>
      </c>
      <c r="AB50" s="112">
        <f>+'P01 2024'!CM34</f>
        <v>177494.43900000001</v>
      </c>
      <c r="AC50" s="241">
        <f>+'P01 2024'!DB34</f>
        <v>177118.81099999999</v>
      </c>
      <c r="AD50" s="112">
        <f>+'P01 2024'!DR34</f>
        <v>272583.56699999998</v>
      </c>
      <c r="AE50" s="112">
        <f>'P01 2024'!EG29</f>
        <v>176622.46900000001</v>
      </c>
      <c r="AF50" s="115">
        <f>+'P01 2024'!ET28</f>
        <v>176857.49400000001</v>
      </c>
      <c r="AG50" s="1086">
        <f>+'P01 2024'!FL36</f>
        <v>280618.05599999998</v>
      </c>
      <c r="AH50" s="915"/>
      <c r="AI50" s="915"/>
      <c r="AJ50" s="915"/>
      <c r="AK50" s="915"/>
      <c r="AL50" s="916"/>
      <c r="BB50" s="201"/>
      <c r="BE50" s="577"/>
      <c r="BF50" s="577"/>
      <c r="BG50" s="198"/>
      <c r="BH50" s="580"/>
      <c r="BI50" s="201"/>
      <c r="BK50" s="201"/>
      <c r="BL50" s="201"/>
      <c r="BR50" s="198"/>
      <c r="BS50" s="161"/>
      <c r="BT50" s="202"/>
      <c r="BU50" s="202"/>
    </row>
    <row r="51" spans="1:73" ht="15" hidden="1" customHeight="1" x14ac:dyDescent="0.25">
      <c r="B51" s="233" t="s">
        <v>539</v>
      </c>
      <c r="C51" s="964"/>
      <c r="D51" s="304"/>
      <c r="E51" s="419"/>
      <c r="F51" s="419">
        <v>14</v>
      </c>
      <c r="G51" s="418" t="str">
        <f t="shared" si="12"/>
        <v>21.02.001.014</v>
      </c>
      <c r="H51" s="812" t="s">
        <v>25</v>
      </c>
      <c r="I51" s="807">
        <f>+'P01 2025'!F40</f>
        <v>4986131.4129999997</v>
      </c>
      <c r="J51" s="420">
        <f>+'P01 2025'!U40</f>
        <v>4986131.4129999997</v>
      </c>
      <c r="K51" s="429">
        <f ca="1">SUMIF(T$3:$AG43,"ok",T51:AG51)</f>
        <v>877917.02899999998</v>
      </c>
      <c r="L51" s="568">
        <f t="shared" ca="1" si="7"/>
        <v>0.17607177915749811</v>
      </c>
      <c r="M51" s="420">
        <f>+'P01 2025'!W40</f>
        <v>877917.02899999998</v>
      </c>
      <c r="N51" s="566">
        <f t="shared" si="8"/>
        <v>0.17607177915749811</v>
      </c>
      <c r="O51" s="430">
        <f t="shared" si="9"/>
        <v>4108214.3839999996</v>
      </c>
      <c r="P51" s="228">
        <f t="shared" si="2"/>
        <v>0.82392822084250184</v>
      </c>
      <c r="Q51" s="112">
        <f>+'P01 2024'!X40</f>
        <v>4912311.0200000005</v>
      </c>
      <c r="R51" s="425">
        <f ca="1">SUMIF(T$3:$AG43,"SI",T51:AG51)</f>
        <v>841892.76533600001</v>
      </c>
      <c r="S51" s="227">
        <f t="shared" ca="1" si="11"/>
        <v>0.1713842551720188</v>
      </c>
      <c r="T51" s="422">
        <f>+'P01 2025'!G40</f>
        <v>434904.14799999999</v>
      </c>
      <c r="U51" s="805">
        <f>+'P01 2024'!K40</f>
        <v>420323.28750799998</v>
      </c>
      <c r="V51" s="805">
        <f>+'P01 2025'!N28</f>
        <v>443012.88099999999</v>
      </c>
      <c r="W51" s="882">
        <f>+'P01 2024'!Q29</f>
        <v>421569.47782800003</v>
      </c>
      <c r="X51" s="944">
        <f>+'P01 2024'!AE34</f>
        <v>407783.24599999998</v>
      </c>
      <c r="Y51" s="112">
        <f>+'P01 2024'!AT29</f>
        <v>414978.39500000002</v>
      </c>
      <c r="Z51" s="112">
        <f>+'P01 2024'!BI29</f>
        <v>414307.15600000002</v>
      </c>
      <c r="AA51" s="112">
        <f>+'P01 2024'!BX35</f>
        <v>418920.60800000001</v>
      </c>
      <c r="AB51" s="112">
        <f>+'P01 2024'!CM35</f>
        <v>419834.64500000002</v>
      </c>
      <c r="AC51" s="241">
        <f>+'P01 2024'!DB35</f>
        <v>419355.17800000001</v>
      </c>
      <c r="AD51" s="112">
        <f>+'P01 2024'!DR35</f>
        <v>417825.99300000002</v>
      </c>
      <c r="AE51" s="112">
        <f>'P01 2024'!EG30</f>
        <v>417336.84899999999</v>
      </c>
      <c r="AF51" s="115">
        <f>+'P01 2024'!ET29</f>
        <v>418168.33500000002</v>
      </c>
      <c r="AG51" s="1086">
        <f>+'P01 2024'!FL37</f>
        <v>429506.30200000003</v>
      </c>
      <c r="AH51" s="915"/>
      <c r="AI51" s="915"/>
      <c r="AJ51" s="915"/>
      <c r="AK51" s="915"/>
      <c r="AL51" s="916"/>
      <c r="BB51" s="201"/>
      <c r="BE51" s="577"/>
      <c r="BF51" s="577"/>
      <c r="BG51" s="198"/>
      <c r="BH51" s="580"/>
      <c r="BI51" s="201"/>
      <c r="BK51" s="201"/>
      <c r="BL51" s="201"/>
      <c r="BR51" s="198"/>
      <c r="BS51" s="161"/>
      <c r="BT51" s="202"/>
      <c r="BU51" s="202"/>
    </row>
    <row r="52" spans="1:73" ht="15" hidden="1" customHeight="1" x14ac:dyDescent="0.25">
      <c r="B52" s="233" t="s">
        <v>540</v>
      </c>
      <c r="C52" s="964"/>
      <c r="D52" s="304"/>
      <c r="E52" s="419"/>
      <c r="F52" s="419">
        <v>21</v>
      </c>
      <c r="G52" s="418" t="str">
        <f t="shared" si="12"/>
        <v>21.02.001.021</v>
      </c>
      <c r="H52" s="812" t="s">
        <v>26</v>
      </c>
      <c r="I52" s="807">
        <f>+'P01 2025'!F41</f>
        <v>1569726.9240000001</v>
      </c>
      <c r="J52" s="420">
        <f>+'P01 2025'!U41</f>
        <v>1569726.9240000001</v>
      </c>
      <c r="K52" s="429">
        <f ca="1">SUMIF(T$3:$AG44,"ok",T52:AG52)</f>
        <v>0</v>
      </c>
      <c r="L52" s="568">
        <f t="shared" ca="1" si="7"/>
        <v>0</v>
      </c>
      <c r="M52" s="420">
        <f>+'P01 2025'!W41</f>
        <v>0</v>
      </c>
      <c r="N52" s="566">
        <f t="shared" si="8"/>
        <v>0</v>
      </c>
      <c r="O52" s="430">
        <f t="shared" si="9"/>
        <v>1569726.9240000001</v>
      </c>
      <c r="P52" s="228">
        <f t="shared" si="2"/>
        <v>1</v>
      </c>
      <c r="Q52" s="112">
        <f>+'P01 2024'!X41</f>
        <v>1546578.08</v>
      </c>
      <c r="R52" s="425">
        <f ca="1">SUMIF(T$3:$AG44,"SI",T52:AG52)</f>
        <v>0</v>
      </c>
      <c r="S52" s="227">
        <f t="shared" ca="1" si="11"/>
        <v>0</v>
      </c>
      <c r="T52" s="422">
        <f>+'P01 2025'!G41</f>
        <v>0</v>
      </c>
      <c r="U52" s="805">
        <f>+'P01 2024'!K41</f>
        <v>0</v>
      </c>
      <c r="V52" s="805">
        <v>0</v>
      </c>
      <c r="W52" s="882">
        <v>0</v>
      </c>
      <c r="X52" s="944">
        <f>+'P01 2024'!AE35</f>
        <v>383909.92700000003</v>
      </c>
      <c r="Y52" s="112">
        <f>+'P01 2024'!AT30</f>
        <v>1071.3599999999999</v>
      </c>
      <c r="Z52" s="112">
        <v>0</v>
      </c>
      <c r="AA52" s="112">
        <f>+'P01 2024'!BX36</f>
        <v>391388.18800000002</v>
      </c>
      <c r="AB52" s="112">
        <f>+'P01 2024'!CM36</f>
        <v>421.935</v>
      </c>
      <c r="AC52" s="241">
        <f>+'P01 2024'!DB36</f>
        <v>-6.7649999999999997</v>
      </c>
      <c r="AD52" s="112">
        <f>+'P01 2024'!DR36</f>
        <v>395310.93800000002</v>
      </c>
      <c r="AE52" s="112">
        <f>'P01 2024'!EG31</f>
        <v>173.06800000000001</v>
      </c>
      <c r="AF52" s="112">
        <v>0</v>
      </c>
      <c r="AG52" s="1086">
        <f>+'P01 2024'!FL38</f>
        <v>397316.13500000001</v>
      </c>
      <c r="AH52" s="915"/>
      <c r="AI52" s="915"/>
      <c r="AJ52" s="915"/>
      <c r="AK52" s="915"/>
      <c r="AL52" s="916"/>
      <c r="BB52" s="201"/>
      <c r="BE52" s="577"/>
      <c r="BF52" s="577"/>
      <c r="BG52" s="198"/>
      <c r="BH52" s="580"/>
      <c r="BI52" s="201"/>
      <c r="BK52" s="201"/>
      <c r="BL52" s="201"/>
      <c r="BR52" s="198"/>
      <c r="BS52" s="161"/>
      <c r="BT52" s="202"/>
      <c r="BU52" s="202"/>
    </row>
    <row r="53" spans="1:73" s="107" customFormat="1" ht="15" hidden="1" customHeight="1" x14ac:dyDescent="0.25">
      <c r="B53" s="233" t="s">
        <v>541</v>
      </c>
      <c r="C53" s="964"/>
      <c r="D53" s="304"/>
      <c r="E53" s="209"/>
      <c r="F53" s="209">
        <v>37</v>
      </c>
      <c r="G53" s="116" t="str">
        <f t="shared" si="12"/>
        <v>21.02.001.037</v>
      </c>
      <c r="H53" s="730" t="s">
        <v>40</v>
      </c>
      <c r="I53" s="807">
        <f>+'P01 2025'!F42</f>
        <v>52034.044999999998</v>
      </c>
      <c r="J53" s="420">
        <f>+'P01 2025'!U42</f>
        <v>52034.044999999998</v>
      </c>
      <c r="K53" s="436">
        <f ca="1">SUMIF(T$3:$AG45,"ok",T53:AG53)</f>
        <v>0</v>
      </c>
      <c r="L53" s="569">
        <f t="shared" ca="1" si="7"/>
        <v>0</v>
      </c>
      <c r="M53" s="420">
        <f>+'P01 2025'!W42</f>
        <v>0</v>
      </c>
      <c r="N53" s="563">
        <f t="shared" si="8"/>
        <v>0</v>
      </c>
      <c r="O53" s="436">
        <f t="shared" si="9"/>
        <v>52034.044999999998</v>
      </c>
      <c r="P53" s="228">
        <f t="shared" si="2"/>
        <v>1</v>
      </c>
      <c r="Q53" s="112">
        <v>0</v>
      </c>
      <c r="R53" s="332">
        <f ca="1">SUMIF(T$3:$AG45,"SI",T53:AG53)</f>
        <v>0</v>
      </c>
      <c r="S53" s="228" t="str">
        <f t="shared" ca="1" si="11"/>
        <v>0,00%</v>
      </c>
      <c r="T53" s="422">
        <f>+'P01 2025'!G42</f>
        <v>0</v>
      </c>
      <c r="U53" s="71">
        <v>0</v>
      </c>
      <c r="V53" s="71">
        <v>0</v>
      </c>
      <c r="W53" s="882">
        <v>0</v>
      </c>
      <c r="X53" s="945">
        <f>+'P01 2024'!AE36</f>
        <v>13107.207</v>
      </c>
      <c r="Y53" s="115">
        <v>0</v>
      </c>
      <c r="Z53" s="115">
        <v>0</v>
      </c>
      <c r="AA53" s="112">
        <f>+'P01 2024'!BX37</f>
        <v>13174.1</v>
      </c>
      <c r="AB53" s="112">
        <f>+'P01 2024'!CM37</f>
        <v>-1.9350000000000001</v>
      </c>
      <c r="AC53" s="241">
        <f>+'P01 2024'!DB37</f>
        <v>-6.7640000000000002</v>
      </c>
      <c r="AD53" s="112">
        <f>+'P01 2024'!DR37</f>
        <v>13032.195</v>
      </c>
      <c r="AE53" s="115">
        <v>0</v>
      </c>
      <c r="AF53" s="115">
        <v>0</v>
      </c>
      <c r="AG53" s="1086">
        <f>+'P01 2024'!FL39</f>
        <v>12727.705</v>
      </c>
      <c r="AH53" s="915"/>
      <c r="AI53" s="915"/>
      <c r="AJ53" s="915"/>
      <c r="AK53" s="915"/>
      <c r="AL53" s="916"/>
      <c r="AM53" s="210"/>
      <c r="AN53" s="210"/>
      <c r="AO53" s="210"/>
      <c r="AP53" s="210"/>
      <c r="AQ53" s="210"/>
      <c r="AR53" s="210"/>
      <c r="AS53" s="210"/>
      <c r="AT53" s="210"/>
      <c r="AU53" s="210"/>
      <c r="AV53" s="210"/>
      <c r="AW53" s="210"/>
      <c r="AX53" s="201"/>
      <c r="AY53" s="201"/>
      <c r="AZ53" s="201"/>
      <c r="BA53" s="201"/>
      <c r="BB53" s="201"/>
      <c r="BC53" s="905"/>
      <c r="BD53" s="905"/>
      <c r="BE53" s="577"/>
      <c r="BF53" s="577"/>
      <c r="BG53" s="198"/>
      <c r="BH53" s="580"/>
      <c r="BI53" s="201"/>
      <c r="BJ53" s="210"/>
      <c r="BK53" s="201"/>
      <c r="BL53" s="201"/>
      <c r="BM53" s="210"/>
      <c r="BN53" s="210"/>
      <c r="BO53" s="210"/>
      <c r="BP53" s="210"/>
      <c r="BQ53" s="219"/>
      <c r="BR53" s="220"/>
      <c r="BS53" s="203"/>
      <c r="BT53" s="221"/>
      <c r="BU53" s="221"/>
    </row>
    <row r="54" spans="1:73" ht="15" hidden="1" customHeight="1" x14ac:dyDescent="0.25">
      <c r="B54" s="233" t="s">
        <v>542</v>
      </c>
      <c r="C54" s="964"/>
      <c r="D54" s="304"/>
      <c r="E54" s="419"/>
      <c r="F54" s="419">
        <v>38</v>
      </c>
      <c r="G54" s="418" t="str">
        <f t="shared" si="12"/>
        <v>21.02.001.038</v>
      </c>
      <c r="H54" s="812" t="s">
        <v>101</v>
      </c>
      <c r="I54" s="807">
        <f>+'P01 2025'!F43</f>
        <v>4188.01</v>
      </c>
      <c r="J54" s="420">
        <f>+'P01 2025'!U43</f>
        <v>4188.01</v>
      </c>
      <c r="K54" s="429">
        <f ca="1">SUMIF(T$3:$AG46,"ok",T54:AG54)</f>
        <v>1457.6559999999999</v>
      </c>
      <c r="L54" s="568">
        <f t="shared" ca="1" si="7"/>
        <v>0.34805456529473422</v>
      </c>
      <c r="M54" s="420">
        <f>+'P01 2025'!W43</f>
        <v>1457.6559999999999</v>
      </c>
      <c r="N54" s="566">
        <f t="shared" si="8"/>
        <v>0.34805456529473422</v>
      </c>
      <c r="O54" s="430">
        <f>J54-M54</f>
        <v>2730.3540000000003</v>
      </c>
      <c r="P54" s="228">
        <f t="shared" si="2"/>
        <v>0.65194543470526578</v>
      </c>
      <c r="Q54" s="112">
        <f>+'P01 2024'!X42</f>
        <v>724.95274400000005</v>
      </c>
      <c r="R54" s="425">
        <f ca="1">SUMIF(T$3:$AG46,"SI",T54:AG54)</f>
        <v>724.95274400000005</v>
      </c>
      <c r="S54" s="227">
        <f t="shared" ca="1" si="11"/>
        <v>1</v>
      </c>
      <c r="T54" s="422">
        <f>+'P01 2025'!G43</f>
        <v>728.82799999999997</v>
      </c>
      <c r="U54" s="805">
        <f>+'P01 2024'!K42</f>
        <v>362.47637200000003</v>
      </c>
      <c r="V54" s="805">
        <f>+'P01 2025'!N29</f>
        <v>728.82799999999997</v>
      </c>
      <c r="W54" s="882">
        <f>+'P01 2024'!Q30</f>
        <v>362.47637200000003</v>
      </c>
      <c r="X54" s="944">
        <f>+'P01 2024'!AE37</f>
        <v>347.86599999999999</v>
      </c>
      <c r="Y54" s="112">
        <f>+'P01 2024'!AT31</f>
        <v>347.86599999999999</v>
      </c>
      <c r="Z54" s="112">
        <f>+'P01 2024'!BI30</f>
        <v>347.86599999999999</v>
      </c>
      <c r="AA54" s="112">
        <f>+'P01 2024'!BX38</f>
        <v>349.60500000000002</v>
      </c>
      <c r="AB54" s="112">
        <f>+'P01 2024'!CM38</f>
        <v>347.67099999999999</v>
      </c>
      <c r="AC54" s="241">
        <f>+'P01 2024'!DB38</f>
        <v>342.84</v>
      </c>
      <c r="AD54" s="431">
        <f>+'P01 2024'!DR38</f>
        <v>349.60500000000002</v>
      </c>
      <c r="AE54" s="112">
        <f>'P01 2024'!EG32</f>
        <v>349.26100000000002</v>
      </c>
      <c r="AF54" s="115">
        <f>+'P01 2024'!ET30</f>
        <v>349.60500000000002</v>
      </c>
      <c r="AG54" s="1086">
        <f>+'P01 2024'!FL40</f>
        <v>358.55599999999998</v>
      </c>
      <c r="AH54" s="915"/>
      <c r="AI54" s="915"/>
      <c r="AJ54" s="915"/>
      <c r="AK54" s="915"/>
      <c r="AL54" s="916"/>
      <c r="BB54" s="201"/>
      <c r="BE54" s="577"/>
      <c r="BF54" s="577"/>
      <c r="BG54" s="198"/>
      <c r="BH54" s="580"/>
      <c r="BI54" s="201"/>
      <c r="BK54" s="201"/>
      <c r="BL54" s="201"/>
      <c r="BR54" s="198"/>
      <c r="BS54" s="161"/>
      <c r="BT54" s="202"/>
      <c r="BU54" s="202"/>
    </row>
    <row r="55" spans="1:73" ht="15" hidden="1" customHeight="1" x14ac:dyDescent="0.25">
      <c r="B55" s="233" t="s">
        <v>826</v>
      </c>
      <c r="C55" s="964"/>
      <c r="D55" s="304"/>
      <c r="E55" s="419"/>
      <c r="F55" s="419">
        <v>998</v>
      </c>
      <c r="G55" s="418" t="str">
        <f t="shared" si="12"/>
        <v>21.02.001.0998</v>
      </c>
      <c r="H55" s="896" t="s">
        <v>832</v>
      </c>
      <c r="I55" s="344">
        <v>0</v>
      </c>
      <c r="J55" s="436">
        <v>0</v>
      </c>
      <c r="K55" s="429">
        <f ca="1">SUMIF(T$3:$AG47,"ok",T55:AG55)</f>
        <v>0</v>
      </c>
      <c r="L55" s="566">
        <f t="shared" ca="1" si="7"/>
        <v>0</v>
      </c>
      <c r="M55" s="436">
        <v>0</v>
      </c>
      <c r="N55" s="566">
        <f t="shared" si="8"/>
        <v>0</v>
      </c>
      <c r="O55" s="437">
        <f t="shared" si="9"/>
        <v>0</v>
      </c>
      <c r="P55" s="228">
        <f t="shared" si="2"/>
        <v>0</v>
      </c>
      <c r="Q55" s="112">
        <f>+'P01 2024'!X43</f>
        <v>114692.94</v>
      </c>
      <c r="R55" s="425">
        <f ca="1">SUMIF(T$3:$AG47,"SI",T55:AG55)</f>
        <v>0</v>
      </c>
      <c r="S55" s="227">
        <f t="shared" ca="1" si="11"/>
        <v>0</v>
      </c>
      <c r="T55" s="422">
        <v>0</v>
      </c>
      <c r="U55" s="805">
        <v>0</v>
      </c>
      <c r="V55" s="805">
        <v>0</v>
      </c>
      <c r="W55" s="882">
        <v>0</v>
      </c>
      <c r="X55" s="944">
        <v>0</v>
      </c>
      <c r="Y55" s="112">
        <v>0</v>
      </c>
      <c r="Z55" s="112">
        <v>0</v>
      </c>
      <c r="AA55" s="112">
        <v>0</v>
      </c>
      <c r="AB55" s="112">
        <v>0</v>
      </c>
      <c r="AC55" s="241">
        <v>0</v>
      </c>
      <c r="AD55" s="112">
        <v>0</v>
      </c>
      <c r="AE55" s="112">
        <v>0</v>
      </c>
      <c r="AF55" s="115">
        <v>0</v>
      </c>
      <c r="AG55" s="1086">
        <v>0</v>
      </c>
      <c r="AH55" s="915"/>
      <c r="AI55" s="915"/>
      <c r="AJ55" s="915"/>
      <c r="AK55" s="915"/>
      <c r="AL55" s="916"/>
      <c r="BB55" s="201"/>
      <c r="BE55" s="577"/>
      <c r="BF55" s="577"/>
      <c r="BG55" s="198"/>
      <c r="BH55" s="580"/>
      <c r="BI55" s="201"/>
      <c r="BK55" s="201"/>
      <c r="BL55" s="201"/>
      <c r="BR55" s="198"/>
      <c r="BS55" s="161"/>
      <c r="BT55" s="202"/>
      <c r="BU55" s="202"/>
    </row>
    <row r="56" spans="1:73" ht="15" hidden="1" customHeight="1" x14ac:dyDescent="0.25">
      <c r="B56" s="233" t="s">
        <v>773</v>
      </c>
      <c r="C56" s="964"/>
      <c r="D56" s="304"/>
      <c r="E56" s="419"/>
      <c r="F56" s="419">
        <v>999</v>
      </c>
      <c r="G56" s="418" t="str">
        <f t="shared" si="12"/>
        <v>21.02.001.0999</v>
      </c>
      <c r="H56" s="896" t="s">
        <v>775</v>
      </c>
      <c r="I56" s="342">
        <v>0</v>
      </c>
      <c r="J56" s="436">
        <v>0</v>
      </c>
      <c r="K56" s="436">
        <f ca="1">SUMIF(T$3:$AG48,"ok",T56:AG56)</f>
        <v>0</v>
      </c>
      <c r="L56" s="566">
        <f t="shared" ca="1" si="7"/>
        <v>0</v>
      </c>
      <c r="M56" s="436">
        <v>0</v>
      </c>
      <c r="N56" s="566">
        <f t="shared" si="8"/>
        <v>0</v>
      </c>
      <c r="O56" s="436">
        <f t="shared" si="9"/>
        <v>0</v>
      </c>
      <c r="P56" s="228">
        <f t="shared" si="2"/>
        <v>0</v>
      </c>
      <c r="Q56" s="112">
        <v>0</v>
      </c>
      <c r="R56" s="425">
        <f ca="1">SUMIF(T$3:$AG48,"SI",T56:AG56)</f>
        <v>0</v>
      </c>
      <c r="S56" s="227" t="str">
        <f t="shared" ca="1" si="11"/>
        <v>0,00%</v>
      </c>
      <c r="T56" s="422">
        <v>0</v>
      </c>
      <c r="U56" s="805">
        <v>0</v>
      </c>
      <c r="V56" s="805">
        <v>0</v>
      </c>
      <c r="W56" s="882">
        <v>0</v>
      </c>
      <c r="X56" s="944">
        <v>0</v>
      </c>
      <c r="Y56" s="112">
        <v>0</v>
      </c>
      <c r="Z56" s="112">
        <v>0</v>
      </c>
      <c r="AA56" s="112">
        <v>0</v>
      </c>
      <c r="AB56" s="112">
        <v>0</v>
      </c>
      <c r="AC56" s="115">
        <v>0</v>
      </c>
      <c r="AD56" s="112">
        <v>0</v>
      </c>
      <c r="AE56" s="112">
        <v>0</v>
      </c>
      <c r="AF56" s="115">
        <v>0</v>
      </c>
      <c r="AG56" s="1007">
        <v>0</v>
      </c>
      <c r="AH56" s="915"/>
      <c r="AI56" s="915"/>
      <c r="AJ56" s="915"/>
      <c r="AK56" s="915"/>
      <c r="AL56" s="916"/>
      <c r="BB56" s="201"/>
      <c r="BE56" s="577"/>
      <c r="BF56" s="577"/>
      <c r="BG56" s="198"/>
      <c r="BH56" s="580"/>
      <c r="BI56" s="201"/>
      <c r="BK56" s="201"/>
      <c r="BL56" s="201"/>
      <c r="BR56" s="198"/>
      <c r="BS56" s="161"/>
      <c r="BT56" s="202"/>
      <c r="BU56" s="202"/>
    </row>
    <row r="57" spans="1:73" s="417" customFormat="1" ht="15" hidden="1" customHeight="1" x14ac:dyDescent="0.25">
      <c r="A57" s="107"/>
      <c r="B57" s="233" t="s">
        <v>355</v>
      </c>
      <c r="C57" s="961"/>
      <c r="D57" s="238"/>
      <c r="E57" s="424" t="s">
        <v>156</v>
      </c>
      <c r="F57" s="424"/>
      <c r="G57" s="424"/>
      <c r="H57" s="980" t="s">
        <v>28</v>
      </c>
      <c r="I57" s="195">
        <f>+'P01 2025'!F44</f>
        <v>611349.11</v>
      </c>
      <c r="J57" s="432">
        <f>+'P01 2025'!U44</f>
        <v>611349.11</v>
      </c>
      <c r="K57" s="415">
        <f ca="1">SUMIF(T$3:$AG49,"ok",T57:AG57)</f>
        <v>85428.33</v>
      </c>
      <c r="L57" s="567">
        <f t="shared" ca="1" si="7"/>
        <v>0.13973739161900472</v>
      </c>
      <c r="M57" s="432">
        <f>+'P01 2025'!W44</f>
        <v>85428.33</v>
      </c>
      <c r="N57" s="567">
        <f t="shared" si="8"/>
        <v>0.13973739161900472</v>
      </c>
      <c r="O57" s="432">
        <f t="shared" si="9"/>
        <v>525920.78</v>
      </c>
      <c r="P57" s="691">
        <f t="shared" si="2"/>
        <v>0.86026260838099533</v>
      </c>
      <c r="Q57" s="109">
        <f>+'P01 2024'!X44</f>
        <v>602880.36</v>
      </c>
      <c r="R57" s="109">
        <f ca="1">SUMIF(T$3:$AG49,"SI",T57:AG57)</f>
        <v>88912.614809999999</v>
      </c>
      <c r="S57" s="562">
        <f t="shared" ca="1" si="11"/>
        <v>0.14747970030073629</v>
      </c>
      <c r="T57" s="806">
        <f>+'P01 2025'!G44</f>
        <v>44439.514000000003</v>
      </c>
      <c r="U57" s="804">
        <f>+'P01 2024'!K44</f>
        <v>40118.997514000002</v>
      </c>
      <c r="V57" s="804">
        <f>+'P01 2025'!N30</f>
        <v>40988.815999999999</v>
      </c>
      <c r="W57" s="109">
        <f>+'P01 2024'!Q31</f>
        <v>48793.617296000004</v>
      </c>
      <c r="X57" s="943">
        <f>+'P01 2024'!AE38</f>
        <v>55811.707000000002</v>
      </c>
      <c r="Y57" s="111">
        <f>+'P01 2024'!AT32</f>
        <v>43653.207999999999</v>
      </c>
      <c r="Z57" s="225">
        <f>+'P01 2024'!BI31</f>
        <v>43619.569000000003</v>
      </c>
      <c r="AA57" s="225">
        <f>+'P01 2024'!BX39</f>
        <v>61646.347999999998</v>
      </c>
      <c r="AB57" s="111">
        <f>+'P01 2024'!CM39</f>
        <v>49530.737999999998</v>
      </c>
      <c r="AC57" s="109">
        <f>+'P01 2024'!DB39</f>
        <v>49496.77</v>
      </c>
      <c r="AD57" s="225">
        <f>+'P01 2024'!DR39</f>
        <v>69934.89</v>
      </c>
      <c r="AE57" s="225">
        <f>SUM(AE58:AE59)</f>
        <v>44273.945</v>
      </c>
      <c r="AF57" s="225">
        <f>+'P01 2024'!ET31</f>
        <v>44389.373</v>
      </c>
      <c r="AG57" s="1063">
        <f>+'P01 2024'!FL41</f>
        <v>63655.188999999998</v>
      </c>
      <c r="AH57" s="915"/>
      <c r="AI57" s="915"/>
      <c r="AJ57" s="915"/>
      <c r="AK57" s="915"/>
      <c r="AL57" s="916"/>
      <c r="AM57" s="210"/>
      <c r="AN57" s="210"/>
      <c r="AO57" s="210"/>
      <c r="AP57" s="210"/>
      <c r="AQ57" s="210"/>
      <c r="AR57" s="210"/>
      <c r="AS57" s="210"/>
      <c r="AT57" s="210"/>
      <c r="AU57" s="210"/>
      <c r="AV57" s="210"/>
      <c r="AW57" s="210"/>
      <c r="AX57" s="201"/>
      <c r="AY57" s="201"/>
      <c r="AZ57" s="201"/>
      <c r="BA57" s="201"/>
      <c r="BB57" s="201"/>
      <c r="BC57" s="905"/>
      <c r="BD57" s="905"/>
      <c r="BE57" s="577"/>
      <c r="BF57" s="577"/>
      <c r="BG57" s="198"/>
      <c r="BH57" s="580"/>
      <c r="BI57" s="201"/>
      <c r="BJ57" s="210"/>
      <c r="BK57" s="201"/>
      <c r="BL57" s="201"/>
      <c r="BM57" s="210"/>
      <c r="BN57" s="210"/>
      <c r="BO57" s="210"/>
      <c r="BP57" s="210"/>
      <c r="BQ57" s="201"/>
      <c r="BR57" s="198"/>
      <c r="BS57" s="161"/>
      <c r="BT57" s="202"/>
      <c r="BU57" s="202"/>
    </row>
    <row r="58" spans="1:73" ht="15" hidden="1" customHeight="1" x14ac:dyDescent="0.25">
      <c r="B58" s="233" t="s">
        <v>543</v>
      </c>
      <c r="C58" s="964"/>
      <c r="D58" s="304"/>
      <c r="E58" s="419"/>
      <c r="F58" s="419">
        <v>1</v>
      </c>
      <c r="G58" s="418" t="str">
        <f>+CONCATENATE($C$10,"",$D$42,"",$E$57,"00",F58)</f>
        <v>21.02.002.001</v>
      </c>
      <c r="H58" s="812" t="s">
        <v>29</v>
      </c>
      <c r="I58" s="420">
        <f>+'P01 2025'!F45</f>
        <v>45228.618999999999</v>
      </c>
      <c r="J58" s="420">
        <f>+'P01 2025'!U45</f>
        <v>45228.618999999999</v>
      </c>
      <c r="K58" s="421">
        <f ca="1">SUMIF(T$3:$AG50,"ok",T58:AG58)</f>
        <v>4263.2939999999999</v>
      </c>
      <c r="L58" s="566">
        <f t="shared" ca="1" si="7"/>
        <v>9.4260981083680667E-2</v>
      </c>
      <c r="M58" s="420">
        <f>+'P01 2025'!W45</f>
        <v>4263.2939999999999</v>
      </c>
      <c r="N58" s="566">
        <f t="shared" si="8"/>
        <v>9.4260981083680667E-2</v>
      </c>
      <c r="O58" s="430">
        <f t="shared" si="9"/>
        <v>40965.324999999997</v>
      </c>
      <c r="P58" s="228">
        <f t="shared" si="2"/>
        <v>0.90573901891631925</v>
      </c>
      <c r="Q58" s="112">
        <f>+'P01 2024'!X45</f>
        <v>43930.720000000001</v>
      </c>
      <c r="R58" s="425">
        <f ca="1">SUMIF(T$3:$AG50,"SI",T58:AG58)</f>
        <v>8355.8532260000011</v>
      </c>
      <c r="S58" s="227">
        <f t="shared" ca="1" si="11"/>
        <v>0.19020524193548388</v>
      </c>
      <c r="T58" s="422">
        <f>+'P01 2025'!G45</f>
        <v>4263.2939999999999</v>
      </c>
      <c r="U58" s="805">
        <f>+'P01 2024'!K45</f>
        <v>0</v>
      </c>
      <c r="V58" s="805">
        <v>0</v>
      </c>
      <c r="W58" s="422">
        <f>+'P01 2024'!Q32</f>
        <v>8355.8532260000011</v>
      </c>
      <c r="X58" s="944">
        <v>0</v>
      </c>
      <c r="Y58" s="112">
        <f>+'P01 2024'!AT33</f>
        <v>4089.2820000000002</v>
      </c>
      <c r="Z58" s="112">
        <f>+'P01 2024'!BI32</f>
        <v>4089.2820000000002</v>
      </c>
      <c r="AA58" s="112">
        <f>+'P01 2024'!BX40</f>
        <v>4060.28</v>
      </c>
      <c r="AB58" s="112">
        <f>+'P01 2024'!CM40</f>
        <v>4132.7849999999999</v>
      </c>
      <c r="AC58" s="241">
        <f>+'P01 2024'!DB40</f>
        <v>4132.7849999999999</v>
      </c>
      <c r="AD58" s="112">
        <f>+'P01 2024'!DR40</f>
        <v>4118.2839999999997</v>
      </c>
      <c r="AE58" s="112">
        <f>'P01 2024'!EG34</f>
        <v>4176.2879999999996</v>
      </c>
      <c r="AF58" s="115">
        <f>+'P01 2024'!ET32</f>
        <v>4190.7889999999998</v>
      </c>
      <c r="AG58" s="1086">
        <f>+'P01 2024'!FL42</f>
        <v>4219.7910000000002</v>
      </c>
      <c r="AH58" s="915"/>
      <c r="AI58" s="915"/>
      <c r="AJ58" s="915"/>
      <c r="AK58" s="915"/>
      <c r="AL58" s="916"/>
      <c r="BB58" s="201"/>
      <c r="BE58" s="577"/>
      <c r="BF58" s="577"/>
      <c r="BG58" s="198"/>
      <c r="BH58" s="580"/>
      <c r="BI58" s="201"/>
      <c r="BK58" s="201"/>
      <c r="BL58" s="201"/>
      <c r="BR58" s="198"/>
      <c r="BS58" s="161"/>
      <c r="BT58" s="202"/>
      <c r="BU58" s="202"/>
    </row>
    <row r="59" spans="1:73" ht="15" hidden="1" customHeight="1" x14ac:dyDescent="0.25">
      <c r="B59" s="233" t="s">
        <v>544</v>
      </c>
      <c r="C59" s="964"/>
      <c r="D59" s="304"/>
      <c r="E59" s="419"/>
      <c r="F59" s="419">
        <v>2</v>
      </c>
      <c r="G59" s="418" t="str">
        <f>+CONCATENATE($C$10,"",$D$42,"",$E$57,"00",F59)</f>
        <v>21.02.002.002</v>
      </c>
      <c r="H59" s="812" t="s">
        <v>30</v>
      </c>
      <c r="I59" s="420">
        <f>+'P01 2025'!F46</f>
        <v>566120.49100000004</v>
      </c>
      <c r="J59" s="420">
        <f>+'P01 2025'!U46</f>
        <v>566120.49100000004</v>
      </c>
      <c r="K59" s="421">
        <f ca="1">SUMIF(T$3:$AG51,"ok",T59:AG59)</f>
        <v>81165.035999999993</v>
      </c>
      <c r="L59" s="566">
        <f t="shared" ca="1" si="7"/>
        <v>0.14337060270796662</v>
      </c>
      <c r="M59" s="420">
        <f>+'P01 2025'!W46</f>
        <v>81165.035999999993</v>
      </c>
      <c r="N59" s="566">
        <f t="shared" si="8"/>
        <v>0.14337060270796662</v>
      </c>
      <c r="O59" s="430">
        <f t="shared" si="9"/>
        <v>484955.45500000007</v>
      </c>
      <c r="P59" s="228">
        <f t="shared" si="2"/>
        <v>0.85662939729203347</v>
      </c>
      <c r="Q59" s="112">
        <f>+'P01 2024'!X46</f>
        <v>558949.64</v>
      </c>
      <c r="R59" s="425">
        <f ca="1">SUMIF(T$3:$AG51,"SI",T59:AG59)</f>
        <v>80556.761583999993</v>
      </c>
      <c r="S59" s="227">
        <f t="shared" ca="1" si="11"/>
        <v>0.14412168077252896</v>
      </c>
      <c r="T59" s="422">
        <f>+'P01 2025'!G46</f>
        <v>40176.22</v>
      </c>
      <c r="U59" s="805">
        <f>+'P01 2024'!K46</f>
        <v>40118.997514000002</v>
      </c>
      <c r="V59" s="805">
        <f>+'P01 2025'!N31</f>
        <v>40988.815999999999</v>
      </c>
      <c r="W59" s="422">
        <f>+'P01 2024'!Q33</f>
        <v>40437.764069999997</v>
      </c>
      <c r="X59" s="944">
        <f>+'P01 2024'!AE39</f>
        <v>55811.707000000002</v>
      </c>
      <c r="Y59" s="112">
        <f>+'P01 2024'!AT34</f>
        <v>39563.925999999999</v>
      </c>
      <c r="Z59" s="112">
        <f>+'P01 2024'!BI33</f>
        <v>39530.286999999997</v>
      </c>
      <c r="AA59" s="112">
        <f>+'P01 2024'!BX41</f>
        <v>57586.067999999999</v>
      </c>
      <c r="AB59" s="112">
        <f>+'P01 2024'!CM41</f>
        <v>45397.953000000001</v>
      </c>
      <c r="AC59" s="241">
        <f>+'P01 2024'!DB41</f>
        <v>45363.985000000001</v>
      </c>
      <c r="AD59" s="112">
        <f>+'P01 2024'!DR41</f>
        <v>65816.606</v>
      </c>
      <c r="AE59" s="112">
        <f>'P01 2024'!EG35</f>
        <v>40097.656999999999</v>
      </c>
      <c r="AF59" s="115">
        <f>+'P01 2024'!ET33</f>
        <v>40198.584000000003</v>
      </c>
      <c r="AG59" s="1086">
        <f>+'P01 2024'!FL43</f>
        <v>59435.398000000001</v>
      </c>
      <c r="AH59" s="915"/>
      <c r="AI59" s="915"/>
      <c r="AJ59" s="915"/>
      <c r="AK59" s="915"/>
      <c r="AL59" s="916"/>
      <c r="BB59" s="201"/>
      <c r="BE59" s="577"/>
      <c r="BF59" s="577"/>
      <c r="BG59" s="198"/>
      <c r="BH59" s="580"/>
      <c r="BI59" s="201"/>
      <c r="BK59" s="201"/>
      <c r="BL59" s="201"/>
      <c r="BR59" s="198"/>
      <c r="BS59" s="161"/>
      <c r="BT59" s="202"/>
      <c r="BU59" s="202"/>
    </row>
    <row r="60" spans="1:73" s="417" customFormat="1" ht="15" hidden="1" customHeight="1" x14ac:dyDescent="0.25">
      <c r="A60" s="107"/>
      <c r="B60" s="233" t="s">
        <v>545</v>
      </c>
      <c r="C60" s="961"/>
      <c r="D60" s="238"/>
      <c r="E60" s="424" t="s">
        <v>157</v>
      </c>
      <c r="F60" s="424"/>
      <c r="G60" s="424"/>
      <c r="H60" s="980" t="s">
        <v>31</v>
      </c>
      <c r="I60" s="195">
        <f>+'P01 2025'!F47</f>
        <v>1544483.2579999999</v>
      </c>
      <c r="J60" s="432">
        <f>+'P01 2025'!U47</f>
        <v>1544483.2579999999</v>
      </c>
      <c r="K60" s="415">
        <f ca="1">SUMIF(T$3:$AG52,"ok",T60:AG60)</f>
        <v>0</v>
      </c>
      <c r="L60" s="567">
        <f t="shared" ca="1" si="7"/>
        <v>0</v>
      </c>
      <c r="M60" s="432">
        <f>+'P01 2025'!W47</f>
        <v>0</v>
      </c>
      <c r="N60" s="567">
        <f t="shared" si="8"/>
        <v>0</v>
      </c>
      <c r="O60" s="432">
        <f t="shared" si="9"/>
        <v>1544483.2579999999</v>
      </c>
      <c r="P60" s="691">
        <f t="shared" si="2"/>
        <v>1</v>
      </c>
      <c r="Q60" s="109">
        <f>+'P01 2024'!X47</f>
        <v>1485141.76</v>
      </c>
      <c r="R60" s="109">
        <f ca="1">SUMIF(T$3:$AG52,"SI",T60:AG60)</f>
        <v>0</v>
      </c>
      <c r="S60" s="562">
        <f t="shared" ca="1" si="11"/>
        <v>0</v>
      </c>
      <c r="T60" s="806">
        <f>+'P01 2025'!G47</f>
        <v>0</v>
      </c>
      <c r="U60" s="804">
        <f>+'P01 2024'!K47</f>
        <v>0</v>
      </c>
      <c r="V60" s="804">
        <v>0</v>
      </c>
      <c r="W60" s="109">
        <v>0</v>
      </c>
      <c r="X60" s="943">
        <f>+'P01 2024'!AE40</f>
        <v>383516.02399999998</v>
      </c>
      <c r="Y60" s="111">
        <f>+'P01 2024'!AT35</f>
        <v>1060.306</v>
      </c>
      <c r="Z60" s="208">
        <v>0</v>
      </c>
      <c r="AA60" s="225">
        <f>+'P01 2024'!BX42</f>
        <v>385775.022</v>
      </c>
      <c r="AB60" s="111">
        <f>+'P01 2024'!CM42</f>
        <v>436.95499999999998</v>
      </c>
      <c r="AC60" s="109">
        <f>+'P01 2024'!DB42</f>
        <v>-13.53</v>
      </c>
      <c r="AD60" s="225">
        <f>+'P01 2024'!DR42</f>
        <v>386347.43900000001</v>
      </c>
      <c r="AE60" s="225">
        <f>SUM(AE61:AE63)</f>
        <v>109.22499999999999</v>
      </c>
      <c r="AF60" s="225">
        <v>0</v>
      </c>
      <c r="AG60" s="1063">
        <f>+'P01 2024'!FL44</f>
        <v>387130.96500000003</v>
      </c>
      <c r="AH60" s="915"/>
      <c r="AI60" s="915"/>
      <c r="AJ60" s="915"/>
      <c r="AK60" s="915"/>
      <c r="AL60" s="916"/>
      <c r="AM60" s="210"/>
      <c r="AN60" s="210"/>
      <c r="AO60" s="210"/>
      <c r="AP60" s="210"/>
      <c r="AQ60" s="210"/>
      <c r="AR60" s="210"/>
      <c r="AS60" s="210"/>
      <c r="AT60" s="210"/>
      <c r="AU60" s="210"/>
      <c r="AV60" s="210"/>
      <c r="AW60" s="210"/>
      <c r="AX60" s="201"/>
      <c r="AY60" s="201"/>
      <c r="AZ60" s="201"/>
      <c r="BA60" s="201"/>
      <c r="BB60" s="201"/>
      <c r="BC60" s="905"/>
      <c r="BD60" s="905"/>
      <c r="BE60" s="577"/>
      <c r="BF60" s="577"/>
      <c r="BG60" s="198"/>
      <c r="BH60" s="580"/>
      <c r="BI60" s="201"/>
      <c r="BJ60" s="210"/>
      <c r="BK60" s="201"/>
      <c r="BL60" s="201"/>
      <c r="BM60" s="210"/>
      <c r="BN60" s="210"/>
      <c r="BO60" s="210"/>
      <c r="BP60" s="210"/>
      <c r="BQ60" s="201"/>
      <c r="BR60" s="198"/>
      <c r="BS60" s="161"/>
      <c r="BT60" s="202"/>
      <c r="BU60" s="202"/>
    </row>
    <row r="61" spans="1:73" ht="15" hidden="1" customHeight="1" x14ac:dyDescent="0.25">
      <c r="B61" s="233" t="s">
        <v>546</v>
      </c>
      <c r="C61" s="964"/>
      <c r="D61" s="304"/>
      <c r="E61" s="419"/>
      <c r="F61" s="419">
        <v>1</v>
      </c>
      <c r="G61" s="418" t="str">
        <f>+CONCATENATE($C$10,"",$D$42,"",$E$60,"00",F61)</f>
        <v>21.02.003.001</v>
      </c>
      <c r="H61" s="812" t="s">
        <v>32</v>
      </c>
      <c r="I61" s="420">
        <f>+'P01 2025'!F48</f>
        <v>795328.06599999999</v>
      </c>
      <c r="J61" s="420">
        <f>+'P01 2025'!U48</f>
        <v>795328.06599999999</v>
      </c>
      <c r="K61" s="421">
        <f ca="1">SUMIF(T$3:$AG53,"ok",T61:AG61)</f>
        <v>0</v>
      </c>
      <c r="L61" s="566">
        <f t="shared" ca="1" si="7"/>
        <v>0</v>
      </c>
      <c r="M61" s="420">
        <f>+'P01 2025'!W48</f>
        <v>0</v>
      </c>
      <c r="N61" s="566">
        <f t="shared" si="8"/>
        <v>0</v>
      </c>
      <c r="O61" s="430">
        <f t="shared" si="9"/>
        <v>795328.06599999999</v>
      </c>
      <c r="P61" s="228">
        <f t="shared" si="2"/>
        <v>1</v>
      </c>
      <c r="Q61" s="112">
        <f>+'P01 2024'!X48</f>
        <v>783604.84000000008</v>
      </c>
      <c r="R61" s="425">
        <f ca="1">SUMIF(T$3:$AG53,"SI",T61:AG61)</f>
        <v>0</v>
      </c>
      <c r="S61" s="227">
        <f t="shared" ca="1" si="11"/>
        <v>0</v>
      </c>
      <c r="T61" s="422">
        <f>+'P01 2025'!G48</f>
        <v>0</v>
      </c>
      <c r="U61" s="805">
        <f>+'P01 2024'!K48</f>
        <v>0</v>
      </c>
      <c r="V61" s="805">
        <v>0</v>
      </c>
      <c r="W61" s="882">
        <v>0</v>
      </c>
      <c r="X61" s="944">
        <f>+'P01 2024'!AE41</f>
        <v>194514.33300000001</v>
      </c>
      <c r="Y61" s="112">
        <f>+'P01 2024'!AT36</f>
        <v>542.83299999999997</v>
      </c>
      <c r="Z61" s="112">
        <v>0</v>
      </c>
      <c r="AA61" s="112">
        <f>+'P01 2024'!BX43</f>
        <v>198303.348</v>
      </c>
      <c r="AB61" s="112">
        <f>+'P01 2024'!CM43</f>
        <v>212.82599999999999</v>
      </c>
      <c r="AC61" s="241">
        <f>+'P01 2024'!DB43</f>
        <v>-6.7649999999999997</v>
      </c>
      <c r="AD61" s="112">
        <f>+'P01 2024'!DR43</f>
        <v>200290.87599999999</v>
      </c>
      <c r="AE61" s="112">
        <f>'P01 2024'!EG37</f>
        <v>87.686999999999998</v>
      </c>
      <c r="AF61" s="112">
        <v>0</v>
      </c>
      <c r="AG61" s="1086">
        <f>+'P01 2024'!FL45</f>
        <v>201318.12</v>
      </c>
      <c r="AH61" s="915"/>
      <c r="AI61" s="915"/>
      <c r="AJ61" s="915"/>
      <c r="AK61" s="915"/>
      <c r="AL61" s="916"/>
      <c r="BB61" s="201"/>
      <c r="BE61" s="577"/>
      <c r="BF61" s="577"/>
      <c r="BG61" s="198"/>
      <c r="BH61" s="580"/>
      <c r="BI61" s="201"/>
      <c r="BK61" s="201"/>
      <c r="BL61" s="201"/>
      <c r="BR61" s="198"/>
      <c r="BS61" s="161"/>
      <c r="BT61" s="202"/>
      <c r="BU61" s="202"/>
    </row>
    <row r="62" spans="1:73" ht="15" hidden="1" customHeight="1" x14ac:dyDescent="0.25">
      <c r="B62" s="233" t="s">
        <v>356</v>
      </c>
      <c r="C62" s="964"/>
      <c r="D62" s="304"/>
      <c r="E62" s="419"/>
      <c r="F62" s="419">
        <v>2</v>
      </c>
      <c r="G62" s="418" t="str">
        <f>+CONCATENATE($C$10,"",$D$42,"",$E$60,"00",F62)</f>
        <v>21.02.003.002</v>
      </c>
      <c r="H62" s="812" t="s">
        <v>33</v>
      </c>
      <c r="I62" s="420">
        <f>+'P01 2025'!F49</f>
        <v>749155.19200000004</v>
      </c>
      <c r="J62" s="420">
        <f>+'P01 2025'!U49</f>
        <v>749155.19200000004</v>
      </c>
      <c r="K62" s="421">
        <f ca="1">SUMIF(T$3:$AG54,"ok",T62:AG62)</f>
        <v>0</v>
      </c>
      <c r="L62" s="566">
        <f t="shared" ca="1" si="7"/>
        <v>0</v>
      </c>
      <c r="M62" s="420">
        <f>+'P01 2025'!W49</f>
        <v>0</v>
      </c>
      <c r="N62" s="566">
        <f t="shared" si="8"/>
        <v>0</v>
      </c>
      <c r="O62" s="430">
        <f t="shared" si="9"/>
        <v>749155.19200000004</v>
      </c>
      <c r="P62" s="228">
        <f t="shared" si="2"/>
        <v>1</v>
      </c>
      <c r="Q62" s="112">
        <f>+'P01 2024'!X49</f>
        <v>701536.92</v>
      </c>
      <c r="R62" s="425">
        <f ca="1">SUMIF(T$3:$AG54,"SI",T62:AG62)</f>
        <v>0</v>
      </c>
      <c r="S62" s="227">
        <f t="shared" ca="1" si="11"/>
        <v>0</v>
      </c>
      <c r="T62" s="422">
        <f>+'P01 2025'!G49</f>
        <v>0</v>
      </c>
      <c r="U62" s="805">
        <f>+'P01 2024'!K49</f>
        <v>0</v>
      </c>
      <c r="V62" s="805">
        <v>0</v>
      </c>
      <c r="W62" s="882">
        <v>0</v>
      </c>
      <c r="X62" s="944">
        <f>+'P01 2024'!AE42</f>
        <v>189001.69099999999</v>
      </c>
      <c r="Y62" s="112">
        <f>+'P01 2024'!AT37</f>
        <v>517.47299999999996</v>
      </c>
      <c r="Z62" s="112">
        <v>0</v>
      </c>
      <c r="AA62" s="112">
        <f>+'P01 2024'!BX44</f>
        <v>187471.674</v>
      </c>
      <c r="AB62" s="112">
        <f>+'P01 2024'!CM44</f>
        <v>224.12899999999999</v>
      </c>
      <c r="AC62" s="241">
        <f>+'P01 2024'!DB44</f>
        <v>-6.7649999999999997</v>
      </c>
      <c r="AD62" s="112">
        <f>+'P01 2024'!DR44</f>
        <v>186056.56299999999</v>
      </c>
      <c r="AE62" s="112">
        <f>'P01 2024'!EG38</f>
        <v>21.538</v>
      </c>
      <c r="AF62" s="112">
        <v>0</v>
      </c>
      <c r="AG62" s="1086">
        <f>+'P01 2024'!FL46</f>
        <v>185811.111</v>
      </c>
      <c r="AH62" s="915"/>
      <c r="AI62" s="915"/>
      <c r="AJ62" s="915"/>
      <c r="AK62" s="915"/>
      <c r="AL62" s="916"/>
      <c r="BB62" s="201"/>
      <c r="BE62" s="577"/>
      <c r="BF62" s="577"/>
      <c r="BG62" s="198"/>
      <c r="BH62" s="580"/>
      <c r="BI62" s="201"/>
      <c r="BK62" s="201"/>
      <c r="BL62" s="201"/>
      <c r="BR62" s="198"/>
      <c r="BS62" s="161"/>
      <c r="BT62" s="202"/>
      <c r="BU62" s="202"/>
    </row>
    <row r="63" spans="1:73" s="439" customFormat="1" ht="15" hidden="1" customHeight="1" x14ac:dyDescent="0.25">
      <c r="A63" s="459"/>
      <c r="B63" s="584" t="s">
        <v>950</v>
      </c>
      <c r="C63" s="692"/>
      <c r="D63" s="603"/>
      <c r="E63" s="435"/>
      <c r="F63" s="435">
        <v>3</v>
      </c>
      <c r="G63" s="434" t="str">
        <f>+CONCATENATE($C$10,"",$D$42,"",$E$60,"00",F63)</f>
        <v>21.02.003.003</v>
      </c>
      <c r="H63" s="896" t="s">
        <v>776</v>
      </c>
      <c r="I63" s="342">
        <v>0</v>
      </c>
      <c r="J63" s="436">
        <v>0</v>
      </c>
      <c r="K63" s="436">
        <f ca="1">SUMIF(T$3:$AG55,"ok",T63:AG63)</f>
        <v>0</v>
      </c>
      <c r="L63" s="568">
        <f t="shared" ca="1" si="7"/>
        <v>0</v>
      </c>
      <c r="M63" s="436">
        <v>0</v>
      </c>
      <c r="N63" s="568">
        <f t="shared" si="8"/>
        <v>0</v>
      </c>
      <c r="O63" s="436">
        <f t="shared" si="9"/>
        <v>0</v>
      </c>
      <c r="P63" s="693">
        <f t="shared" si="2"/>
        <v>0</v>
      </c>
      <c r="Q63" s="112">
        <v>0</v>
      </c>
      <c r="R63" s="428">
        <f ca="1">SUMIF(T$3:$AG53,"SI",T63:AG63)</f>
        <v>0</v>
      </c>
      <c r="S63" s="974" t="str">
        <f t="shared" ca="1" si="11"/>
        <v>0,00%</v>
      </c>
      <c r="T63" s="422">
        <v>0</v>
      </c>
      <c r="U63" s="808">
        <v>0</v>
      </c>
      <c r="V63" s="808">
        <v>0</v>
      </c>
      <c r="W63" s="438">
        <v>0</v>
      </c>
      <c r="X63" s="946">
        <v>0</v>
      </c>
      <c r="Y63" s="345">
        <v>0</v>
      </c>
      <c r="Z63" s="345">
        <v>0</v>
      </c>
      <c r="AA63" s="345">
        <v>0</v>
      </c>
      <c r="AB63" s="345"/>
      <c r="AC63" s="241">
        <v>0</v>
      </c>
      <c r="AD63" s="345">
        <v>0</v>
      </c>
      <c r="AE63" s="345">
        <v>0</v>
      </c>
      <c r="AF63" s="241">
        <v>0</v>
      </c>
      <c r="AG63" s="1010">
        <f>+'P01 2024'!FL47</f>
        <v>1.734</v>
      </c>
      <c r="AH63" s="915"/>
      <c r="AI63" s="915"/>
      <c r="AJ63" s="915"/>
      <c r="AK63" s="915"/>
      <c r="AL63" s="916"/>
      <c r="AM63" s="210"/>
      <c r="AN63" s="210"/>
      <c r="AO63" s="210"/>
      <c r="AP63" s="210"/>
      <c r="AQ63" s="210"/>
      <c r="AR63" s="210"/>
      <c r="AS63" s="210"/>
      <c r="AT63" s="210"/>
      <c r="AU63" s="210"/>
      <c r="AV63" s="210"/>
      <c r="AW63" s="210"/>
      <c r="AX63" s="201"/>
      <c r="AY63" s="201"/>
      <c r="AZ63" s="201"/>
      <c r="BA63" s="201"/>
      <c r="BB63" s="201"/>
      <c r="BC63" s="905"/>
      <c r="BD63" s="905"/>
      <c r="BE63" s="577"/>
      <c r="BF63" s="577"/>
      <c r="BG63" s="198"/>
      <c r="BH63" s="580"/>
      <c r="BI63" s="201"/>
      <c r="BJ63" s="258"/>
      <c r="BK63" s="211"/>
      <c r="BL63" s="211"/>
      <c r="BM63" s="258"/>
      <c r="BN63" s="258"/>
      <c r="BO63" s="258"/>
      <c r="BP63" s="258"/>
      <c r="BQ63" s="211"/>
      <c r="BR63" s="213"/>
      <c r="BS63" s="212"/>
      <c r="BT63" s="214"/>
      <c r="BU63" s="214"/>
    </row>
    <row r="64" spans="1:73" s="417" customFormat="1" ht="15" hidden="1" customHeight="1" x14ac:dyDescent="0.25">
      <c r="A64" s="107"/>
      <c r="B64" s="233" t="s">
        <v>357</v>
      </c>
      <c r="C64" s="961"/>
      <c r="D64" s="238"/>
      <c r="E64" s="424" t="s">
        <v>158</v>
      </c>
      <c r="F64" s="424"/>
      <c r="G64" s="424"/>
      <c r="H64" s="980" t="s">
        <v>34</v>
      </c>
      <c r="I64" s="195">
        <f>+'P01 2025'!F50</f>
        <v>471035.58399999997</v>
      </c>
      <c r="J64" s="432">
        <f>+'P01 2025'!U50</f>
        <v>471035.58399999997</v>
      </c>
      <c r="K64" s="415">
        <f ca="1">SUMIF(T$3:$AG56,"ok",T64:AG64)</f>
        <v>63076.043999999994</v>
      </c>
      <c r="L64" s="567">
        <f t="shared" ca="1" si="7"/>
        <v>0.13390929717955236</v>
      </c>
      <c r="M64" s="432">
        <f>+'P01 2025'!W50</f>
        <v>63076.044000000002</v>
      </c>
      <c r="N64" s="567">
        <f t="shared" si="8"/>
        <v>0.13390929717955238</v>
      </c>
      <c r="O64" s="432">
        <f t="shared" si="9"/>
        <v>407959.54</v>
      </c>
      <c r="P64" s="691">
        <f t="shared" si="2"/>
        <v>0.86609070282044764</v>
      </c>
      <c r="Q64" s="109">
        <f>+'P01 2024'!X50</f>
        <v>344246.06099999999</v>
      </c>
      <c r="R64" s="208">
        <f ca="1">SUM(R65:R68)</f>
        <v>60215.00013600001</v>
      </c>
      <c r="S64" s="562">
        <f t="shared" ca="1" si="11"/>
        <v>0.17491848697144574</v>
      </c>
      <c r="T64" s="806">
        <f>+'P01 2025'!G50</f>
        <v>33517.370999999999</v>
      </c>
      <c r="U64" s="804">
        <f>+'P01 2024'!K50</f>
        <v>28558.196116000003</v>
      </c>
      <c r="V64" s="804">
        <f>+'P01 2025'!N32</f>
        <v>29558.672999999999</v>
      </c>
      <c r="W64" s="208">
        <f>+'P01 2024'!Q34</f>
        <v>31656.804020000003</v>
      </c>
      <c r="X64" s="943">
        <f>+'P01 2024'!AE43</f>
        <v>31954.843000000001</v>
      </c>
      <c r="Y64" s="111">
        <f>+'P01 2024'!AT38</f>
        <v>37403.534</v>
      </c>
      <c r="Z64" s="208">
        <f>+'P01 2024'!BI34</f>
        <v>33197.161</v>
      </c>
      <c r="AA64" s="208">
        <f>+'P01 2024'!BX45</f>
        <v>38428.053999999996</v>
      </c>
      <c r="AB64" s="111">
        <f>+'P01 2024'!CM45</f>
        <v>34395.156000000003</v>
      </c>
      <c r="AC64" s="109">
        <f>+'P01 2024'!DB45</f>
        <v>38573.372000000003</v>
      </c>
      <c r="AD64" s="208">
        <f>+'P01 2024'!DR45</f>
        <v>31388.014999999999</v>
      </c>
      <c r="AE64" s="208">
        <f>SUM(AE65:AE68)</f>
        <v>32069.205000000002</v>
      </c>
      <c r="AF64" s="208">
        <f>+'P01 2024'!ET34</f>
        <v>37373.436000000002</v>
      </c>
      <c r="AG64" s="1063">
        <f>+'P01 2024'!FL48</f>
        <v>45691.453000000001</v>
      </c>
      <c r="AH64" s="915"/>
      <c r="AI64" s="915"/>
      <c r="AJ64" s="915"/>
      <c r="AK64" s="915"/>
      <c r="AL64" s="916"/>
      <c r="AM64" s="210"/>
      <c r="AN64" s="210"/>
      <c r="AO64" s="210"/>
      <c r="AP64" s="210"/>
      <c r="AQ64" s="210"/>
      <c r="AR64" s="210"/>
      <c r="AS64" s="210"/>
      <c r="AT64" s="210"/>
      <c r="AU64" s="210"/>
      <c r="AV64" s="210"/>
      <c r="AW64" s="210"/>
      <c r="AX64" s="201"/>
      <c r="AY64" s="201"/>
      <c r="AZ64" s="201"/>
      <c r="BA64" s="201"/>
      <c r="BB64" s="201"/>
      <c r="BC64" s="905"/>
      <c r="BD64" s="905"/>
      <c r="BE64" s="577"/>
      <c r="BF64" s="577"/>
      <c r="BG64" s="198"/>
      <c r="BH64" s="580"/>
      <c r="BI64" s="201"/>
      <c r="BJ64" s="210"/>
      <c r="BK64" s="201"/>
      <c r="BL64" s="201"/>
      <c r="BM64" s="210"/>
      <c r="BN64" s="210"/>
      <c r="BO64" s="210"/>
      <c r="BP64" s="210"/>
      <c r="BQ64" s="201"/>
      <c r="BR64" s="198"/>
      <c r="BS64" s="161"/>
      <c r="BT64" s="202"/>
      <c r="BU64" s="202"/>
    </row>
    <row r="65" spans="1:73" ht="15" hidden="1" customHeight="1" x14ac:dyDescent="0.25">
      <c r="B65" s="233" t="s">
        <v>547</v>
      </c>
      <c r="C65" s="964"/>
      <c r="D65" s="304"/>
      <c r="E65" s="419"/>
      <c r="F65" s="419">
        <v>4</v>
      </c>
      <c r="G65" s="418" t="str">
        <f>+CONCATENATE($C$10,"",$D$42,"",$E$64,"00",F65)</f>
        <v>21.02.004.004</v>
      </c>
      <c r="H65" s="812" t="s">
        <v>35</v>
      </c>
      <c r="I65" s="420">
        <f>+'P01 2025'!F51</f>
        <v>338878.78399999999</v>
      </c>
      <c r="J65" s="420">
        <f>+'P01 2025'!U51</f>
        <v>338878.78399999999</v>
      </c>
      <c r="K65" s="420">
        <f ca="1">SUMIF(T$3:$AG57,"ok",T65:AG65)</f>
        <v>37278.487000000001</v>
      </c>
      <c r="L65" s="563">
        <f t="shared" ca="1" si="7"/>
        <v>0.11000537289463362</v>
      </c>
      <c r="M65" s="420">
        <f>+'P01 2025'!W51</f>
        <v>37278.487000000001</v>
      </c>
      <c r="N65" s="566">
        <f t="shared" si="8"/>
        <v>0.11000537289463362</v>
      </c>
      <c r="O65" s="430">
        <f t="shared" si="9"/>
        <v>301600.29699999996</v>
      </c>
      <c r="P65" s="228">
        <f t="shared" si="2"/>
        <v>0.88999462710536636</v>
      </c>
      <c r="Q65" s="112">
        <f>+'P01 2024'!X51</f>
        <v>211675.527</v>
      </c>
      <c r="R65" s="425">
        <f ca="1">SUMIF(T$3:$AG53,"SI",T65:AG65)</f>
        <v>38448.134884000006</v>
      </c>
      <c r="S65" s="227">
        <f t="shared" ca="1" si="11"/>
        <v>0.18163712843384114</v>
      </c>
      <c r="T65" s="422">
        <f>+'P01 2025'!G51</f>
        <v>18724.327000000001</v>
      </c>
      <c r="U65" s="805">
        <f>+'P01 2024'!K51</f>
        <v>19224.067442000003</v>
      </c>
      <c r="V65" s="805">
        <f>+'P01 2025'!N33</f>
        <v>18554.16</v>
      </c>
      <c r="W65" s="422">
        <f>+'P01 2024'!Q35</f>
        <v>19224.067442000003</v>
      </c>
      <c r="X65" s="944">
        <f>+'P01 2024'!AE44</f>
        <v>19939.399000000001</v>
      </c>
      <c r="Y65" s="112">
        <f>+'P01 2024'!AT39</f>
        <v>18863.642</v>
      </c>
      <c r="Z65" s="112">
        <f>+'P01 2024'!BI35</f>
        <v>18863.642</v>
      </c>
      <c r="AA65" s="112">
        <f>+'P01 2024'!BX46</f>
        <v>22000.018</v>
      </c>
      <c r="AB65" s="112">
        <f>+'P01 2024'!CM46</f>
        <v>21162.489000000001</v>
      </c>
      <c r="AC65" s="241">
        <f>+'P01 2024'!DB46</f>
        <v>20950.064999999999</v>
      </c>
      <c r="AD65" s="112">
        <f>+'P01 2024'!DR46</f>
        <v>20756.830000000002</v>
      </c>
      <c r="AE65" s="112">
        <f>'P01 2024'!EG40</f>
        <v>20933.36</v>
      </c>
      <c r="AF65" s="115">
        <f>+'P01 2024'!ET35</f>
        <v>20756.830000000002</v>
      </c>
      <c r="AG65" s="1086">
        <f>+'P01 2024'!FL49</f>
        <v>20243.231</v>
      </c>
      <c r="AH65" s="915"/>
      <c r="AI65" s="915"/>
      <c r="AJ65" s="915"/>
      <c r="AK65" s="915"/>
      <c r="AL65" s="916"/>
      <c r="BB65" s="201"/>
      <c r="BE65" s="577"/>
      <c r="BF65" s="577"/>
      <c r="BG65" s="198"/>
      <c r="BH65" s="580"/>
      <c r="BI65" s="201"/>
      <c r="BK65" s="201"/>
      <c r="BL65" s="201"/>
      <c r="BR65" s="198"/>
      <c r="BS65" s="161"/>
      <c r="BT65" s="202"/>
      <c r="BU65" s="202"/>
    </row>
    <row r="66" spans="1:73" ht="15" hidden="1" customHeight="1" x14ac:dyDescent="0.25">
      <c r="B66" s="233" t="s">
        <v>548</v>
      </c>
      <c r="C66" s="964"/>
      <c r="D66" s="304"/>
      <c r="E66" s="419"/>
      <c r="F66" s="419">
        <v>5</v>
      </c>
      <c r="G66" s="418" t="str">
        <f>+CONCATENATE($C$10,"",$D$42,"",$E$64,"00",F66)</f>
        <v>21.02.004.005</v>
      </c>
      <c r="H66" s="812" t="s">
        <v>711</v>
      </c>
      <c r="I66" s="420">
        <f>+'P01 2025'!F52</f>
        <v>56627.8</v>
      </c>
      <c r="J66" s="420">
        <f>+'P01 2025'!U52</f>
        <v>56627.8</v>
      </c>
      <c r="K66" s="420">
        <f ca="1">SUMIF(T$3:$AG58,"ok",T66:AG66)</f>
        <v>8908.9330000000009</v>
      </c>
      <c r="L66" s="563">
        <f t="shared" ca="1" si="7"/>
        <v>0.15732437071544367</v>
      </c>
      <c r="M66" s="420">
        <f>+'P01 2025'!W52</f>
        <v>8908.9330000000009</v>
      </c>
      <c r="N66" s="566">
        <f t="shared" si="8"/>
        <v>0.15732437071544367</v>
      </c>
      <c r="O66" s="430">
        <f t="shared" si="9"/>
        <v>47718.866999999998</v>
      </c>
      <c r="P66" s="228">
        <f t="shared" si="2"/>
        <v>0.8426756292845563</v>
      </c>
      <c r="Q66" s="112">
        <f>+'P01 2024'!X52</f>
        <v>58387.428</v>
      </c>
      <c r="R66" s="425">
        <f ca="1">SUMIF(T$3:$AG54,"SI",T66:AG66)</f>
        <v>6163.2872459999999</v>
      </c>
      <c r="S66" s="227">
        <f t="shared" ca="1" si="11"/>
        <v>0.10555846450369419</v>
      </c>
      <c r="T66" s="422">
        <f>+'P01 2025'!G52</f>
        <v>5115.1379999999999</v>
      </c>
      <c r="U66" s="805">
        <f>+'P01 2024'!K52</f>
        <v>1050.030694</v>
      </c>
      <c r="V66" s="805">
        <f>+'P01 2025'!N34</f>
        <v>3793.7950000000001</v>
      </c>
      <c r="W66" s="422">
        <f>+'P01 2024'!Q36</f>
        <v>5113.2565519999998</v>
      </c>
      <c r="X66" s="944">
        <f>+'P01 2024'!AE45</f>
        <v>3430.7890000000002</v>
      </c>
      <c r="Y66" s="112">
        <f>+'P01 2024'!AT40</f>
        <v>3165.7579999999998</v>
      </c>
      <c r="Z66" s="112">
        <f>+'P01 2024'!BI36</f>
        <v>3540.8229999999999</v>
      </c>
      <c r="AA66" s="112">
        <f>+'P01 2024'!BX47</f>
        <v>3300.7730000000001</v>
      </c>
      <c r="AB66" s="112">
        <f>+'P01 2024'!CM47</f>
        <v>2863.8449999999998</v>
      </c>
      <c r="AC66" s="241">
        <f>+'P01 2024'!DB47</f>
        <v>3695.9749999999999</v>
      </c>
      <c r="AD66" s="112">
        <f>+'P01 2024'!DR47</f>
        <v>3843.7469999999998</v>
      </c>
      <c r="AE66" s="112">
        <f>'P01 2024'!EG41</f>
        <v>3476.1770000000001</v>
      </c>
      <c r="AF66" s="115">
        <f>+'P01 2024'!ET36</f>
        <v>6580.9070000000002</v>
      </c>
      <c r="AG66" s="1086">
        <f>+'P01 2024'!FL50</f>
        <v>15666.178</v>
      </c>
      <c r="AH66" s="915"/>
      <c r="AI66" s="915"/>
      <c r="AJ66" s="915"/>
      <c r="AK66" s="915"/>
      <c r="AL66" s="916"/>
      <c r="BB66" s="201"/>
      <c r="BE66" s="577"/>
      <c r="BF66" s="577"/>
      <c r="BG66" s="198"/>
      <c r="BH66" s="580"/>
      <c r="BI66" s="201"/>
      <c r="BK66" s="201"/>
      <c r="BL66" s="201"/>
      <c r="BR66" s="198"/>
      <c r="BS66" s="161"/>
      <c r="BT66" s="202"/>
      <c r="BU66" s="202"/>
    </row>
    <row r="67" spans="1:73" ht="15" hidden="1" customHeight="1" x14ac:dyDescent="0.25">
      <c r="B67" s="233" t="s">
        <v>585</v>
      </c>
      <c r="C67" s="964"/>
      <c r="D67" s="304"/>
      <c r="E67" s="419"/>
      <c r="F67" s="419">
        <v>6</v>
      </c>
      <c r="G67" s="418" t="str">
        <f>+CONCATENATE($C$10,"",$D$42,"",$E$64,"00",F67)</f>
        <v>21.02.004.006</v>
      </c>
      <c r="H67" s="812" t="s">
        <v>37</v>
      </c>
      <c r="I67" s="420">
        <f>+'P01 2025'!F53</f>
        <v>75029</v>
      </c>
      <c r="J67" s="420">
        <f>+'P01 2025'!U53</f>
        <v>75029</v>
      </c>
      <c r="K67" s="420">
        <f ca="1">SUMIF(T$3:$AG59,"ok",T67:AG67)</f>
        <v>16888.624</v>
      </c>
      <c r="L67" s="563">
        <f t="shared" ca="1" si="7"/>
        <v>0.2250946167481907</v>
      </c>
      <c r="M67" s="420">
        <f>+'P01 2025'!W53</f>
        <v>16888.624</v>
      </c>
      <c r="N67" s="566">
        <f t="shared" si="8"/>
        <v>0.2250946167481907</v>
      </c>
      <c r="O67" s="430">
        <f t="shared" si="9"/>
        <v>58140.376000000004</v>
      </c>
      <c r="P67" s="228">
        <f t="shared" si="2"/>
        <v>0.77490538325180935</v>
      </c>
      <c r="Q67" s="112">
        <f>+'P01 2024'!X53</f>
        <v>73453.706000000006</v>
      </c>
      <c r="R67" s="425">
        <f ca="1">SUMIF(T$3:$AG55,"SI",T67:AG67)</f>
        <v>15603.578006000002</v>
      </c>
      <c r="S67" s="227">
        <f t="shared" ca="1" si="11"/>
        <v>0.21242737576780674</v>
      </c>
      <c r="T67" s="422">
        <f>+'P01 2025'!G53</f>
        <v>9677.9060000000009</v>
      </c>
      <c r="U67" s="805">
        <f>+'P01 2024'!K53</f>
        <v>8284.0979800000005</v>
      </c>
      <c r="V67" s="805">
        <f>+'P01 2025'!N35</f>
        <v>7210.7179999999998</v>
      </c>
      <c r="W67" s="422">
        <f>+'P01 2024'!Q37</f>
        <v>7319.4800260000011</v>
      </c>
      <c r="X67" s="944">
        <f>+'P01 2024'!AE46</f>
        <v>8584.6550000000007</v>
      </c>
      <c r="Y67" s="112">
        <f>+'P01 2024'!AT41</f>
        <v>15374.134</v>
      </c>
      <c r="Z67" s="112">
        <f>+'P01 2024'!BI37</f>
        <v>10792.696</v>
      </c>
      <c r="AA67" s="112">
        <f>+'P01 2024'!BX48</f>
        <v>13127.263000000001</v>
      </c>
      <c r="AB67" s="112">
        <f>+'P01 2024'!CM48</f>
        <v>10368.822</v>
      </c>
      <c r="AC67" s="241">
        <f>+'P01 2024'!DB48</f>
        <v>13927.332</v>
      </c>
      <c r="AD67" s="112">
        <f>+'P01 2024'!DR48</f>
        <v>6787.4380000000001</v>
      </c>
      <c r="AE67" s="112">
        <f>'P01 2024'!EG42</f>
        <v>7659.6679999999997</v>
      </c>
      <c r="AF67" s="115">
        <f>+'P01 2024'!ET37</f>
        <v>10035.699000000001</v>
      </c>
      <c r="AG67" s="1086">
        <f>+'P01 2024'!FL51</f>
        <v>9782.0439999999999</v>
      </c>
      <c r="AH67" s="915"/>
      <c r="AI67" s="915"/>
      <c r="AJ67" s="915"/>
      <c r="AK67" s="915"/>
      <c r="AL67" s="916"/>
      <c r="BB67" s="201"/>
      <c r="BE67" s="577"/>
      <c r="BF67" s="577"/>
      <c r="BG67" s="198"/>
      <c r="BH67" s="580"/>
      <c r="BI67" s="201"/>
      <c r="BK67" s="201"/>
      <c r="BL67" s="201"/>
      <c r="BR67" s="198"/>
      <c r="BS67" s="161"/>
      <c r="BT67" s="202"/>
      <c r="BU67" s="202"/>
    </row>
    <row r="68" spans="1:73" ht="15" hidden="1" customHeight="1" x14ac:dyDescent="0.25">
      <c r="B68" s="233" t="s">
        <v>827</v>
      </c>
      <c r="C68" s="964"/>
      <c r="D68" s="304"/>
      <c r="E68" s="419"/>
      <c r="F68" s="419">
        <v>7</v>
      </c>
      <c r="G68" s="418" t="str">
        <f>+CONCATENATE($C$10,"",$D$42,"",$E$64,"00",F68)</f>
        <v>21.02.004.007</v>
      </c>
      <c r="H68" s="812" t="s">
        <v>38</v>
      </c>
      <c r="I68" s="420">
        <f>+'P01 2025'!F54</f>
        <v>500</v>
      </c>
      <c r="J68" s="420">
        <f>+'P01 2025'!U54</f>
        <v>500</v>
      </c>
      <c r="K68" s="420">
        <f ca="1">SUMIF(T$3:$AG60,"ok",T68:AG68)</f>
        <v>0</v>
      </c>
      <c r="L68" s="563">
        <f t="shared" ca="1" si="7"/>
        <v>0</v>
      </c>
      <c r="M68" s="420">
        <f>+'P01 2025'!W54</f>
        <v>0</v>
      </c>
      <c r="N68" s="566">
        <f t="shared" si="8"/>
        <v>0</v>
      </c>
      <c r="O68" s="430">
        <f t="shared" si="9"/>
        <v>500</v>
      </c>
      <c r="P68" s="228">
        <f t="shared" si="2"/>
        <v>1</v>
      </c>
      <c r="Q68" s="112">
        <f>+'P01 2024'!X54</f>
        <v>729.4</v>
      </c>
      <c r="R68" s="428">
        <f ca="1">SUMIF(T$3:$AG56,"SI",T68:AG68)</f>
        <v>0</v>
      </c>
      <c r="S68" s="227">
        <f t="shared" ca="1" si="11"/>
        <v>0</v>
      </c>
      <c r="T68" s="422">
        <f>+'P01 2025'!G54</f>
        <v>0</v>
      </c>
      <c r="U68" s="805">
        <f>+'P01 2024'!K54</f>
        <v>0</v>
      </c>
      <c r="V68" s="805">
        <v>0</v>
      </c>
      <c r="W68" s="882">
        <v>0</v>
      </c>
      <c r="X68" s="944">
        <v>0</v>
      </c>
      <c r="Y68" s="112">
        <v>0</v>
      </c>
      <c r="Z68" s="112">
        <v>0</v>
      </c>
      <c r="AA68" s="112">
        <v>0</v>
      </c>
      <c r="AB68" s="112">
        <v>0</v>
      </c>
      <c r="AC68" s="241">
        <v>0</v>
      </c>
      <c r="AD68" s="112">
        <v>0</v>
      </c>
      <c r="AE68" s="112">
        <v>0</v>
      </c>
      <c r="AF68" s="115">
        <v>0</v>
      </c>
      <c r="AG68" s="1086">
        <v>0</v>
      </c>
      <c r="AH68" s="915"/>
      <c r="AI68" s="915"/>
      <c r="AJ68" s="915"/>
      <c r="AK68" s="915"/>
      <c r="AL68" s="916"/>
      <c r="BB68" s="201"/>
      <c r="BE68" s="577"/>
      <c r="BF68" s="577"/>
      <c r="BG68" s="198"/>
      <c r="BH68" s="580"/>
      <c r="BI68" s="201"/>
      <c r="BK68" s="201"/>
      <c r="BL68" s="201"/>
      <c r="BR68" s="198"/>
      <c r="BS68" s="161"/>
      <c r="BT68" s="202"/>
      <c r="BU68" s="202"/>
    </row>
    <row r="69" spans="1:73" s="417" customFormat="1" ht="15" hidden="1" customHeight="1" x14ac:dyDescent="0.25">
      <c r="A69" s="107"/>
      <c r="B69" s="233" t="s">
        <v>358</v>
      </c>
      <c r="C69" s="961"/>
      <c r="D69" s="238"/>
      <c r="E69" s="424" t="s">
        <v>159</v>
      </c>
      <c r="F69" s="424"/>
      <c r="G69" s="424"/>
      <c r="H69" s="980" t="s">
        <v>974</v>
      </c>
      <c r="I69" s="195">
        <f>+'P01 2025'!F55</f>
        <v>119357.391</v>
      </c>
      <c r="J69" s="432">
        <f>+'P01 2025'!U55</f>
        <v>119357.391</v>
      </c>
      <c r="K69" s="415">
        <f ca="1">SUMIF(T$3:$AG61,"ok",T69:AG69)</f>
        <v>24079.041000000001</v>
      </c>
      <c r="L69" s="567">
        <f t="shared" ca="1" si="7"/>
        <v>0.20173900248875246</v>
      </c>
      <c r="M69" s="432">
        <f>+'P01 2025'!W55</f>
        <v>24079.041000000001</v>
      </c>
      <c r="N69" s="567">
        <f t="shared" si="8"/>
        <v>0.20173900248875246</v>
      </c>
      <c r="O69" s="432">
        <f t="shared" si="9"/>
        <v>95278.35</v>
      </c>
      <c r="P69" s="691">
        <f t="shared" si="2"/>
        <v>0.79826099751124757</v>
      </c>
      <c r="Q69" s="109">
        <f>+'P01 2024'!X55</f>
        <v>89976.7</v>
      </c>
      <c r="R69" s="208">
        <f ca="1">SUM(R70:R72)</f>
        <v>0</v>
      </c>
      <c r="S69" s="562">
        <f t="shared" ca="1" si="11"/>
        <v>0</v>
      </c>
      <c r="T69" s="806">
        <f>+'P01 2025'!G55</f>
        <v>24079.041000000001</v>
      </c>
      <c r="U69" s="804">
        <f>+'P01 2024'!K55</f>
        <v>0</v>
      </c>
      <c r="V69" s="804">
        <v>0</v>
      </c>
      <c r="W69" s="208">
        <v>0</v>
      </c>
      <c r="X69" s="943">
        <f>+'P01 2024'!AE47</f>
        <v>8854.8919999999998</v>
      </c>
      <c r="Y69" s="111">
        <v>0</v>
      </c>
      <c r="Z69" s="208">
        <v>0</v>
      </c>
      <c r="AA69" s="208">
        <f>+'P01 2024'!BX49</f>
        <v>9599.6959999999999</v>
      </c>
      <c r="AB69" s="208">
        <f>+'P01 2024'!CM49</f>
        <v>-1.9350000000000001</v>
      </c>
      <c r="AC69" s="109">
        <f>+'P01 2024'!DB49</f>
        <v>-6.7649999999999997</v>
      </c>
      <c r="AD69" s="208">
        <f>+'P01 2024'!DR49</f>
        <v>22760.012999999999</v>
      </c>
      <c r="AE69" s="208">
        <f>SUM(AE70:AE72)</f>
        <v>0</v>
      </c>
      <c r="AF69" s="208">
        <v>0</v>
      </c>
      <c r="AG69" s="1005">
        <f>+'P01 2024'!FL52</f>
        <v>78149.952999999994</v>
      </c>
      <c r="AH69" s="915"/>
      <c r="AI69" s="915"/>
      <c r="AJ69" s="915"/>
      <c r="AK69" s="915"/>
      <c r="AL69" s="916"/>
      <c r="AM69" s="210"/>
      <c r="AN69" s="210"/>
      <c r="AO69" s="210"/>
      <c r="AP69" s="210"/>
      <c r="AQ69" s="210"/>
      <c r="AR69" s="210"/>
      <c r="AS69" s="210"/>
      <c r="AT69" s="210"/>
      <c r="AU69" s="210"/>
      <c r="AV69" s="210"/>
      <c r="AW69" s="210"/>
      <c r="AX69" s="201"/>
      <c r="AY69" s="201"/>
      <c r="AZ69" s="201"/>
      <c r="BA69" s="201"/>
      <c r="BB69" s="201"/>
      <c r="BC69" s="905"/>
      <c r="BD69" s="905"/>
      <c r="BE69" s="577"/>
      <c r="BF69" s="577"/>
      <c r="BG69" s="198"/>
      <c r="BH69" s="580"/>
      <c r="BI69" s="201"/>
      <c r="BJ69" s="210"/>
      <c r="BK69" s="201"/>
      <c r="BL69" s="201"/>
      <c r="BM69" s="210"/>
      <c r="BN69" s="210"/>
      <c r="BO69" s="210"/>
      <c r="BP69" s="210"/>
      <c r="BQ69" s="201"/>
      <c r="BR69" s="198"/>
      <c r="BS69" s="161"/>
      <c r="BT69" s="202"/>
      <c r="BU69" s="202"/>
    </row>
    <row r="70" spans="1:73" ht="15" hidden="1" customHeight="1" x14ac:dyDescent="0.25">
      <c r="B70" s="233" t="s">
        <v>359</v>
      </c>
      <c r="C70" s="964"/>
      <c r="D70" s="304"/>
      <c r="E70" s="419"/>
      <c r="F70" s="419">
        <v>1</v>
      </c>
      <c r="G70" s="418" t="str">
        <f>+CONCATENATE($C$10,"",$D$42,"",$E$69,"00",F70)</f>
        <v>21.02.005.001</v>
      </c>
      <c r="H70" s="812" t="s">
        <v>95</v>
      </c>
      <c r="I70" s="420">
        <f>+'P01 2025'!F56</f>
        <v>38806.478999999999</v>
      </c>
      <c r="J70" s="420">
        <f>+'P01 2025'!U56</f>
        <v>38806.478999999999</v>
      </c>
      <c r="K70" s="420">
        <f ca="1">SUMIF(T$3:$AG62,"ok",T70:AG70)</f>
        <v>0</v>
      </c>
      <c r="L70" s="563">
        <f t="shared" ca="1" si="7"/>
        <v>0</v>
      </c>
      <c r="M70" s="420">
        <f>+'P01 2025'!W56</f>
        <v>0</v>
      </c>
      <c r="N70" s="566">
        <f t="shared" si="8"/>
        <v>0</v>
      </c>
      <c r="O70" s="430">
        <f t="shared" si="9"/>
        <v>38806.478999999999</v>
      </c>
      <c r="P70" s="228">
        <f t="shared" si="2"/>
        <v>1</v>
      </c>
      <c r="Q70" s="112">
        <f>+'P01 2024'!X56</f>
        <v>10.42</v>
      </c>
      <c r="R70" s="425">
        <f ca="1">SUMIF(T$3:$AG60,"SI",T70:AG70)</f>
        <v>0</v>
      </c>
      <c r="S70" s="227">
        <f t="shared" ca="1" si="11"/>
        <v>0</v>
      </c>
      <c r="T70" s="422">
        <f>+'P01 2025'!G56</f>
        <v>0</v>
      </c>
      <c r="U70" s="805">
        <f>+'P01 2024'!K56</f>
        <v>0</v>
      </c>
      <c r="V70" s="805">
        <v>0</v>
      </c>
      <c r="W70" s="882">
        <v>0</v>
      </c>
      <c r="X70" s="944">
        <v>0</v>
      </c>
      <c r="Y70" s="112">
        <v>0</v>
      </c>
      <c r="Z70" s="427">
        <v>0</v>
      </c>
      <c r="AA70" s="112">
        <v>0</v>
      </c>
      <c r="AB70" s="112">
        <v>0</v>
      </c>
      <c r="AC70" s="241">
        <v>0</v>
      </c>
      <c r="AD70" s="112">
        <f>+'P01 2024'!DR50</f>
        <v>22760.012999999999</v>
      </c>
      <c r="AE70" s="112">
        <v>0</v>
      </c>
      <c r="AF70" s="440">
        <v>0</v>
      </c>
      <c r="AG70" s="1086">
        <f>+'P01 2024'!FL53</f>
        <v>16044.929</v>
      </c>
      <c r="AH70" s="915"/>
      <c r="AI70" s="915"/>
      <c r="AJ70" s="915"/>
      <c r="AK70" s="915"/>
      <c r="AL70" s="916"/>
      <c r="BB70" s="201"/>
      <c r="BE70" s="577"/>
      <c r="BF70" s="577"/>
      <c r="BG70" s="198"/>
      <c r="BH70" s="580"/>
      <c r="BI70" s="201"/>
      <c r="BK70" s="201"/>
      <c r="BL70" s="201"/>
      <c r="BR70" s="198"/>
      <c r="BS70" s="161"/>
      <c r="BT70" s="202"/>
      <c r="BU70" s="202"/>
    </row>
    <row r="71" spans="1:73" ht="15" hidden="1" customHeight="1" x14ac:dyDescent="0.25">
      <c r="B71" s="233" t="s">
        <v>461</v>
      </c>
      <c r="C71" s="964"/>
      <c r="D71" s="304"/>
      <c r="E71" s="419"/>
      <c r="F71" s="419">
        <v>2</v>
      </c>
      <c r="G71" s="418" t="str">
        <f>+CONCATENATE($C$10,"",$D$42,"",$E$69,"00",F71)</f>
        <v>21.02.005.002</v>
      </c>
      <c r="H71" s="812" t="s">
        <v>96</v>
      </c>
      <c r="I71" s="420">
        <f>+'P01 2025'!F57</f>
        <v>18445.887999999999</v>
      </c>
      <c r="J71" s="420">
        <f>+'P01 2025'!U57</f>
        <v>18445.887999999999</v>
      </c>
      <c r="K71" s="420">
        <f ca="1">SUMIF(T$3:$AG63,"ok",T71:AG71)</f>
        <v>0</v>
      </c>
      <c r="L71" s="563">
        <f t="shared" ca="1" si="7"/>
        <v>0</v>
      </c>
      <c r="M71" s="420">
        <f>+'P01 2025'!W57</f>
        <v>0</v>
      </c>
      <c r="N71" s="566">
        <f t="shared" si="8"/>
        <v>0</v>
      </c>
      <c r="O71" s="430">
        <f t="shared" si="9"/>
        <v>18445.887999999999</v>
      </c>
      <c r="P71" s="228">
        <f t="shared" si="2"/>
        <v>1</v>
      </c>
      <c r="Q71" s="112">
        <f>+'P01 2024'!X57</f>
        <v>18297.52</v>
      </c>
      <c r="R71" s="425">
        <f ca="1">SUMIF(T$3:$AG61,"SI",T71:AG71)</f>
        <v>0</v>
      </c>
      <c r="S71" s="227">
        <f t="shared" ca="1" si="11"/>
        <v>0</v>
      </c>
      <c r="T71" s="422">
        <f>+'P01 2025'!G57</f>
        <v>0</v>
      </c>
      <c r="U71" s="805">
        <f>+'P01 2024'!K57</f>
        <v>0</v>
      </c>
      <c r="V71" s="805">
        <v>0</v>
      </c>
      <c r="W71" s="882">
        <v>0</v>
      </c>
      <c r="X71" s="944">
        <f>+'P01 2024'!AE48</f>
        <v>8854.8919999999998</v>
      </c>
      <c r="Y71" s="112">
        <v>0</v>
      </c>
      <c r="Z71" s="112">
        <v>0</v>
      </c>
      <c r="AA71" s="427">
        <f>+'P01 2024'!BX50</f>
        <v>9599.6959999999999</v>
      </c>
      <c r="AB71" s="112">
        <f>+'P01 2024'!CM50</f>
        <v>-1.9350000000000001</v>
      </c>
      <c r="AC71" s="241">
        <f>+'P01 2024'!DB50</f>
        <v>-6.7649999999999997</v>
      </c>
      <c r="AD71" s="112">
        <v>0</v>
      </c>
      <c r="AE71" s="112">
        <v>0</v>
      </c>
      <c r="AF71" s="115">
        <v>0</v>
      </c>
      <c r="AG71" s="1086">
        <v>0</v>
      </c>
      <c r="AH71" s="915"/>
      <c r="AI71" s="915"/>
      <c r="AJ71" s="915"/>
      <c r="AK71" s="915"/>
      <c r="AL71" s="916"/>
      <c r="BB71" s="201"/>
      <c r="BE71" s="577"/>
      <c r="BF71" s="577"/>
      <c r="BG71" s="198"/>
      <c r="BH71" s="580"/>
      <c r="BI71" s="201"/>
      <c r="BK71" s="201"/>
      <c r="BL71" s="201"/>
      <c r="BR71" s="198"/>
      <c r="BS71" s="161"/>
      <c r="BT71" s="202"/>
      <c r="BU71" s="202"/>
    </row>
    <row r="72" spans="1:73" ht="15" hidden="1" customHeight="1" x14ac:dyDescent="0.25">
      <c r="B72" s="233" t="s">
        <v>360</v>
      </c>
      <c r="C72" s="964"/>
      <c r="D72" s="304"/>
      <c r="E72" s="419"/>
      <c r="F72" s="419">
        <v>3</v>
      </c>
      <c r="G72" s="418" t="str">
        <f>+CONCATENATE($C$10,"",$D$42,"",$E$69,"00",F72)</f>
        <v>21.02.005.003</v>
      </c>
      <c r="H72" s="812" t="s">
        <v>97</v>
      </c>
      <c r="I72" s="420">
        <f>+'P01 2025'!F58</f>
        <v>62105.023999999998</v>
      </c>
      <c r="J72" s="420">
        <f>+'P01 2025'!U58</f>
        <v>62105.023999999998</v>
      </c>
      <c r="K72" s="420">
        <f ca="1">SUMIF(T$3:$AG64,"ok",T72:AG72)</f>
        <v>24079.041000000001</v>
      </c>
      <c r="L72" s="563">
        <f t="shared" ca="1" si="7"/>
        <v>0.38771486506470076</v>
      </c>
      <c r="M72" s="420">
        <f>+'P01 2025'!W58</f>
        <v>24079.041000000001</v>
      </c>
      <c r="N72" s="566">
        <f t="shared" si="8"/>
        <v>0.38771486506470076</v>
      </c>
      <c r="O72" s="430">
        <f t="shared" si="9"/>
        <v>38025.982999999993</v>
      </c>
      <c r="P72" s="228">
        <f t="shared" si="2"/>
        <v>0.61228513493529924</v>
      </c>
      <c r="Q72" s="112">
        <f>+'P01 2024'!X58</f>
        <v>71668.760000000009</v>
      </c>
      <c r="R72" s="425">
        <f ca="1">SUMIF(T$3:$AG62,"SI",T72:AG72)</f>
        <v>0</v>
      </c>
      <c r="S72" s="227">
        <f t="shared" ca="1" si="11"/>
        <v>0</v>
      </c>
      <c r="T72" s="422">
        <f>+'P01 2025'!G58</f>
        <v>24079.041000000001</v>
      </c>
      <c r="U72" s="805">
        <f>+'P01 2024'!K58</f>
        <v>0</v>
      </c>
      <c r="V72" s="805">
        <v>0</v>
      </c>
      <c r="W72" s="882">
        <v>0</v>
      </c>
      <c r="X72" s="944">
        <v>0</v>
      </c>
      <c r="Y72" s="112">
        <v>0</v>
      </c>
      <c r="Z72" s="112">
        <v>0</v>
      </c>
      <c r="AA72" s="427">
        <v>0</v>
      </c>
      <c r="AB72" s="112">
        <v>0</v>
      </c>
      <c r="AC72" s="241">
        <v>0</v>
      </c>
      <c r="AD72" s="112">
        <v>0</v>
      </c>
      <c r="AE72" s="112">
        <v>0</v>
      </c>
      <c r="AF72" s="115">
        <v>0</v>
      </c>
      <c r="AG72" s="1086">
        <f>+'P01 2024'!FL54</f>
        <v>62105.023999999998</v>
      </c>
      <c r="AH72" s="915"/>
      <c r="AI72" s="915"/>
      <c r="AJ72" s="915"/>
      <c r="AK72" s="915"/>
      <c r="AL72" s="916"/>
      <c r="BB72" s="201"/>
      <c r="BE72" s="577"/>
      <c r="BF72" s="577"/>
      <c r="BG72" s="198"/>
      <c r="BH72" s="580"/>
      <c r="BI72" s="201"/>
      <c r="BK72" s="201"/>
      <c r="BL72" s="201"/>
      <c r="BR72" s="198"/>
      <c r="BS72" s="161"/>
      <c r="BT72" s="202"/>
      <c r="BU72" s="202"/>
    </row>
    <row r="73" spans="1:73" s="417" customFormat="1" ht="15" hidden="1" customHeight="1" x14ac:dyDescent="0.25">
      <c r="A73" s="107"/>
      <c r="B73" s="233" t="s">
        <v>361</v>
      </c>
      <c r="C73" s="961"/>
      <c r="D73" s="238" t="s">
        <v>161</v>
      </c>
      <c r="E73" s="424"/>
      <c r="F73" s="424"/>
      <c r="G73" s="424"/>
      <c r="H73" s="980" t="s">
        <v>102</v>
      </c>
      <c r="I73" s="195">
        <f>+'P01 2025'!F59</f>
        <v>1131969.5630000001</v>
      </c>
      <c r="J73" s="432">
        <f>+'P01 2025'!U59</f>
        <v>1131969.5630000001</v>
      </c>
      <c r="K73" s="415">
        <f ca="1">SUMIF(T$3:$AG65,"ok",T73:AG73)</f>
        <v>157169.98300000001</v>
      </c>
      <c r="L73" s="567">
        <f t="shared" ref="L73:L108" ca="1" si="13">IFERROR(K73/J73,0)</f>
        <v>0.13884647444358891</v>
      </c>
      <c r="M73" s="432">
        <f>+'P01 2025'!W59</f>
        <v>157169.98300000001</v>
      </c>
      <c r="N73" s="567">
        <f t="shared" ref="N73:N108" si="14">+IFERROR(M73/J73,0%)</f>
        <v>0.13884647444358891</v>
      </c>
      <c r="O73" s="432">
        <f t="shared" si="9"/>
        <v>974799.58000000007</v>
      </c>
      <c r="P73" s="691">
        <f t="shared" ref="P73:P141" si="15">+IFERROR(O73/J73,0)</f>
        <v>0.86115352555641111</v>
      </c>
      <c r="Q73" s="109">
        <f>+'P01 2024'!X59</f>
        <v>1119375.794</v>
      </c>
      <c r="R73" s="208">
        <f ca="1">+R74+R77+R78</f>
        <v>188974.59940200002</v>
      </c>
      <c r="S73" s="562">
        <f t="shared" ca="1" si="11"/>
        <v>0.16882140958820843</v>
      </c>
      <c r="T73" s="806">
        <f>+'P01 2025'!G59</f>
        <v>79652.243000000002</v>
      </c>
      <c r="U73" s="804">
        <f>+'P01 2024'!K59</f>
        <v>92215.083761999995</v>
      </c>
      <c r="V73" s="804">
        <f>+'P01 2025'!N36</f>
        <v>77517.740000000005</v>
      </c>
      <c r="W73" s="433">
        <f>+'P01 2024'!Q38</f>
        <v>96759.515639999998</v>
      </c>
      <c r="X73" s="943">
        <f>+'P01 2024'!AE49</f>
        <v>98346.593999999997</v>
      </c>
      <c r="Y73" s="111">
        <f>+'P01 2024'!AT42</f>
        <v>100300.67200000001</v>
      </c>
      <c r="Z73" s="225">
        <f>+'P01 2024'!BI38</f>
        <v>100558.05899999999</v>
      </c>
      <c r="AA73" s="225">
        <f>+'P01 2024'!BX51</f>
        <v>96343.994999999995</v>
      </c>
      <c r="AB73" s="225">
        <f>+'P01 2024'!CM51</f>
        <v>87484.604000000007</v>
      </c>
      <c r="AC73" s="109">
        <f>+'P01 2024'!DB51</f>
        <v>82145.581999999995</v>
      </c>
      <c r="AD73" s="225">
        <f>+'P01 2024'!DR51</f>
        <v>81564.013000000006</v>
      </c>
      <c r="AE73" s="225">
        <f>AE74+AE77</f>
        <v>79453.722999999998</v>
      </c>
      <c r="AF73" s="225">
        <f>+'P01 2024'!ET38</f>
        <v>79852.831000000006</v>
      </c>
      <c r="AG73" s="1006">
        <f>+'P01 2024'!FL55</f>
        <v>97810.804000000004</v>
      </c>
      <c r="AH73" s="915"/>
      <c r="AI73" s="915"/>
      <c r="AJ73" s="915"/>
      <c r="AK73" s="915"/>
      <c r="AL73" s="916"/>
      <c r="AM73" s="210"/>
      <c r="AN73" s="210"/>
      <c r="AO73" s="210"/>
      <c r="AP73" s="210"/>
      <c r="AQ73" s="210"/>
      <c r="AR73" s="210"/>
      <c r="AS73" s="210"/>
      <c r="AT73" s="210"/>
      <c r="AU73" s="210"/>
      <c r="AV73" s="210"/>
      <c r="AW73" s="210"/>
      <c r="AX73" s="201"/>
      <c r="AY73" s="201"/>
      <c r="AZ73" s="201"/>
      <c r="BA73" s="201"/>
      <c r="BB73" s="201"/>
      <c r="BC73" s="905"/>
      <c r="BD73" s="905"/>
      <c r="BE73" s="577"/>
      <c r="BF73" s="577"/>
      <c r="BG73" s="198"/>
      <c r="BH73" s="580"/>
      <c r="BI73" s="201"/>
      <c r="BJ73" s="210"/>
      <c r="BK73" s="201"/>
      <c r="BL73" s="201"/>
      <c r="BM73" s="210"/>
      <c r="BN73" s="210"/>
      <c r="BO73" s="210"/>
      <c r="BP73" s="210"/>
      <c r="BQ73" s="201"/>
      <c r="BR73" s="198"/>
      <c r="BS73" s="161"/>
      <c r="BT73" s="202"/>
      <c r="BU73" s="202"/>
    </row>
    <row r="74" spans="1:73" s="417" customFormat="1" ht="15" hidden="1" customHeight="1" x14ac:dyDescent="0.25">
      <c r="A74" s="107"/>
      <c r="B74" s="233" t="s">
        <v>549</v>
      </c>
      <c r="C74" s="961"/>
      <c r="D74" s="238"/>
      <c r="E74" s="424" t="s">
        <v>154</v>
      </c>
      <c r="F74" s="424"/>
      <c r="G74" s="424"/>
      <c r="H74" s="980" t="s">
        <v>41</v>
      </c>
      <c r="I74" s="195">
        <f>+'P01 2025'!F60</f>
        <v>1038046</v>
      </c>
      <c r="J74" s="432">
        <f>+'P01 2025'!U60</f>
        <v>1038046</v>
      </c>
      <c r="K74" s="415">
        <f ca="1">SUMIF(T$3:$AG66,"ok",T74:AG74)</f>
        <v>150193.90899999999</v>
      </c>
      <c r="L74" s="567">
        <f t="shared" ca="1" si="13"/>
        <v>0.14468906869252421</v>
      </c>
      <c r="M74" s="432">
        <f>+'P01 2025'!W60</f>
        <v>150193.90900000001</v>
      </c>
      <c r="N74" s="567">
        <f t="shared" si="14"/>
        <v>0.14468906869252424</v>
      </c>
      <c r="O74" s="432">
        <f t="shared" ref="O74:O109" si="16">J74-M74</f>
        <v>887852.09100000001</v>
      </c>
      <c r="P74" s="691">
        <f t="shared" si="15"/>
        <v>0.85531093130747582</v>
      </c>
      <c r="Q74" s="109">
        <f>+'P01 2024'!X60</f>
        <v>1051461.3600000001</v>
      </c>
      <c r="R74" s="208">
        <f ca="1">SUM(R75:R76)</f>
        <v>169127.72335000001</v>
      </c>
      <c r="S74" s="562">
        <f t="shared" ca="1" si="11"/>
        <v>0.16085015558726762</v>
      </c>
      <c r="T74" s="806">
        <f>+'P01 2025'!G60</f>
        <v>75001.527000000002</v>
      </c>
      <c r="U74" s="804">
        <f>+'P01 2024'!K60</f>
        <v>81874.106958000004</v>
      </c>
      <c r="V74" s="804">
        <f>+'P01 2025'!N37</f>
        <v>75192.381999999998</v>
      </c>
      <c r="W74" s="433">
        <f>+'P01 2024'!Q39</f>
        <v>87253.616392000011</v>
      </c>
      <c r="X74" s="943">
        <f>+'P01 2024'!AE50</f>
        <v>82890.031000000003</v>
      </c>
      <c r="Y74" s="111">
        <f>+'P01 2024'!AT43</f>
        <v>89302.823999999993</v>
      </c>
      <c r="Z74" s="225">
        <f>+'P01 2024'!BI39</f>
        <v>91402.775999999998</v>
      </c>
      <c r="AA74" s="225">
        <f>+'P01 2024'!BX52</f>
        <v>83491.542000000001</v>
      </c>
      <c r="AB74" s="225">
        <f>+'P01 2024'!CM52</f>
        <v>81584.712</v>
      </c>
      <c r="AC74" s="109">
        <f>+'P01 2024'!DB52</f>
        <v>78348.793999999994</v>
      </c>
      <c r="AD74" s="225">
        <f>+'P01 2024'!DR52</f>
        <v>80125.384999999995</v>
      </c>
      <c r="AE74" s="225">
        <f>SUM(AE75:AE76)</f>
        <v>76103.906999999992</v>
      </c>
      <c r="AF74" s="225">
        <f>+'P01 2024'!ET39</f>
        <v>76726.013000000006</v>
      </c>
      <c r="AG74" s="1006">
        <f>+'P01 2024'!FL56</f>
        <v>88584.472999999998</v>
      </c>
      <c r="AH74" s="915"/>
      <c r="AI74" s="915"/>
      <c r="AJ74" s="915"/>
      <c r="AK74" s="915"/>
      <c r="AL74" s="916"/>
      <c r="AM74" s="210"/>
      <c r="AN74" s="210"/>
      <c r="AO74" s="210"/>
      <c r="AP74" s="210"/>
      <c r="AQ74" s="210"/>
      <c r="AR74" s="210"/>
      <c r="AS74" s="210"/>
      <c r="AT74" s="210"/>
      <c r="AU74" s="210"/>
      <c r="AV74" s="210"/>
      <c r="AW74" s="210"/>
      <c r="AX74" s="201"/>
      <c r="AY74" s="201"/>
      <c r="AZ74" s="201"/>
      <c r="BA74" s="201"/>
      <c r="BB74" s="201"/>
      <c r="BC74" s="905"/>
      <c r="BD74" s="905"/>
      <c r="BE74" s="577"/>
      <c r="BF74" s="577"/>
      <c r="BG74" s="198"/>
      <c r="BH74" s="580"/>
      <c r="BI74" s="201"/>
      <c r="BJ74" s="210"/>
      <c r="BK74" s="201"/>
      <c r="BL74" s="201"/>
      <c r="BM74" s="210"/>
      <c r="BN74" s="210"/>
      <c r="BO74" s="210"/>
      <c r="BP74" s="210"/>
      <c r="BQ74" s="201"/>
      <c r="BR74" s="198"/>
      <c r="BS74" s="161"/>
      <c r="BT74" s="202"/>
      <c r="BU74" s="202"/>
    </row>
    <row r="75" spans="1:73" ht="15" hidden="1" customHeight="1" x14ac:dyDescent="0.25">
      <c r="B75" s="233" t="s">
        <v>550</v>
      </c>
      <c r="C75" s="964"/>
      <c r="D75" s="304"/>
      <c r="E75" s="419"/>
      <c r="F75" s="419">
        <v>1</v>
      </c>
      <c r="G75" s="418" t="str">
        <f>+CONCATENATE($C$10,"",$D$73,"",$E$74,"00",F75)</f>
        <v>21.03.001.001</v>
      </c>
      <c r="H75" s="812" t="s">
        <v>42</v>
      </c>
      <c r="I75" s="420">
        <f>+'P01 2025'!F61</f>
        <v>1018733</v>
      </c>
      <c r="J75" s="420">
        <f>+'P01 2025'!U61</f>
        <v>1018733</v>
      </c>
      <c r="K75" s="420">
        <f ca="1">SUMIF(T$3:$AG67,"ok",T75:AG75)</f>
        <v>148388.24599999998</v>
      </c>
      <c r="L75" s="563">
        <f t="shared" ca="1" si="13"/>
        <v>0.14565960462653119</v>
      </c>
      <c r="M75" s="420">
        <f>+'P01 2025'!W61</f>
        <v>148388.24600000001</v>
      </c>
      <c r="N75" s="566">
        <f t="shared" si="14"/>
        <v>0.14565960462653121</v>
      </c>
      <c r="O75" s="430">
        <f t="shared" si="16"/>
        <v>870344.75399999996</v>
      </c>
      <c r="P75" s="228">
        <f t="shared" si="15"/>
        <v>0.85434039537346873</v>
      </c>
      <c r="Q75" s="112">
        <f>+'P01 2024'!X61</f>
        <v>1033317.0140000001</v>
      </c>
      <c r="R75" s="425">
        <f ca="1">SUMIF(T$3:$AG67,"SI",T75:AG75)</f>
        <v>165541.44069000002</v>
      </c>
      <c r="S75" s="227">
        <f t="shared" ca="1" si="11"/>
        <v>0.16020392430120192</v>
      </c>
      <c r="T75" s="422">
        <f>+'P01 2025'!G61</f>
        <v>74008.732000000004</v>
      </c>
      <c r="U75" s="805">
        <f>+'P01 2024'!K61</f>
        <v>80879.776374000008</v>
      </c>
      <c r="V75" s="805">
        <f>+'P01 2025'!N38</f>
        <v>74379.513999999996</v>
      </c>
      <c r="W75" s="422">
        <f>+'P01 2024'!Q40</f>
        <v>84661.664316000009</v>
      </c>
      <c r="X75" s="944">
        <f>+'P01 2024'!AE51</f>
        <v>81557.429000000004</v>
      </c>
      <c r="Y75" s="112">
        <f>+'P01 2024'!AT44</f>
        <v>85856.528999999995</v>
      </c>
      <c r="Z75" s="112">
        <f>+'P01 2024'!BI40</f>
        <v>90491.226999999999</v>
      </c>
      <c r="AA75" s="112">
        <f>+'P01 2024'!BX53</f>
        <v>82042.543000000005</v>
      </c>
      <c r="AB75" s="112">
        <f>+'P01 2024'!CM53</f>
        <v>80537.138000000006</v>
      </c>
      <c r="AC75" s="241">
        <f>+'P01 2024'!DB53</f>
        <v>77309.039999999994</v>
      </c>
      <c r="AD75" s="112">
        <f>+'P01 2024'!DR53</f>
        <v>79602.876999999993</v>
      </c>
      <c r="AE75" s="112">
        <f>'P01 2024'!EG45</f>
        <v>75269.108999999997</v>
      </c>
      <c r="AF75" s="115">
        <f>+'P01 2024'!ET40</f>
        <v>75805.513000000006</v>
      </c>
      <c r="AG75" s="1086">
        <f>+'P01 2024'!FL57</f>
        <v>88270.688999999998</v>
      </c>
      <c r="AH75" s="915"/>
      <c r="AI75" s="915"/>
      <c r="AJ75" s="915"/>
      <c r="AK75" s="915"/>
      <c r="AL75" s="916"/>
      <c r="BB75" s="201"/>
      <c r="BE75" s="577"/>
      <c r="BF75" s="577"/>
      <c r="BG75" s="198"/>
      <c r="BH75" s="580"/>
      <c r="BI75" s="201"/>
      <c r="BK75" s="201"/>
      <c r="BL75" s="201"/>
      <c r="BR75" s="198"/>
      <c r="BS75" s="161"/>
      <c r="BT75" s="202"/>
      <c r="BU75" s="202"/>
    </row>
    <row r="76" spans="1:73" ht="15" hidden="1" customHeight="1" x14ac:dyDescent="0.25">
      <c r="B76" s="233" t="s">
        <v>551</v>
      </c>
      <c r="C76" s="964"/>
      <c r="D76" s="304"/>
      <c r="E76" s="419"/>
      <c r="F76" s="419">
        <v>2</v>
      </c>
      <c r="G76" s="418" t="str">
        <f>+CONCATENATE($C$10,"",$D$73,"",$E$74,"00",F76)</f>
        <v>21.03.001.002</v>
      </c>
      <c r="H76" s="812" t="s">
        <v>43</v>
      </c>
      <c r="I76" s="420">
        <f>+'P01 2025'!F62</f>
        <v>19313</v>
      </c>
      <c r="J76" s="420">
        <f>+'P01 2025'!U62</f>
        <v>19313</v>
      </c>
      <c r="K76" s="420">
        <f ca="1">SUMIF(T$3:$AG68,"ok",T76:AG76)</f>
        <v>1805.663</v>
      </c>
      <c r="L76" s="563">
        <f t="shared" ca="1" si="13"/>
        <v>9.3494692694040288E-2</v>
      </c>
      <c r="M76" s="420">
        <f>+'P01 2025'!W62</f>
        <v>1805.663</v>
      </c>
      <c r="N76" s="566">
        <f t="shared" si="14"/>
        <v>9.3494692694040288E-2</v>
      </c>
      <c r="O76" s="430">
        <f t="shared" si="16"/>
        <v>17507.337</v>
      </c>
      <c r="P76" s="228">
        <f t="shared" si="15"/>
        <v>0.90650530730595968</v>
      </c>
      <c r="Q76" s="112">
        <f>+'P01 2024'!X62</f>
        <v>18144.346000000001</v>
      </c>
      <c r="R76" s="425">
        <f ca="1">SUMIF(T$3:$AG69,"SI",T76:AG76)</f>
        <v>3586.2826599999999</v>
      </c>
      <c r="S76" s="227">
        <f t="shared" ca="1" si="11"/>
        <v>0.19765290300350311</v>
      </c>
      <c r="T76" s="422">
        <f>+'P01 2025'!G62</f>
        <v>992.79499999999996</v>
      </c>
      <c r="U76" s="805">
        <f>+'P01 2024'!K62</f>
        <v>994.33058399999993</v>
      </c>
      <c r="V76" s="805">
        <f>+'P01 2025'!N39</f>
        <v>812.86800000000005</v>
      </c>
      <c r="W76" s="422">
        <f>+'P01 2024'!Q41</f>
        <v>2591.952076</v>
      </c>
      <c r="X76" s="944">
        <f>+'P01 2024'!AE52</f>
        <v>1332.6020000000001</v>
      </c>
      <c r="Y76" s="112">
        <f>+'P01 2024'!AT45</f>
        <v>3446.2950000000001</v>
      </c>
      <c r="Z76" s="112">
        <f>+'P01 2024'!BI41</f>
        <v>911.54899999999998</v>
      </c>
      <c r="AA76" s="112">
        <f>+'P01 2024'!BX54</f>
        <v>1448.999</v>
      </c>
      <c r="AB76" s="112">
        <f>+'P01 2024'!CM54</f>
        <v>1047.5740000000001</v>
      </c>
      <c r="AC76" s="241">
        <f>+'P01 2024'!DB54</f>
        <v>1039.7539999999999</v>
      </c>
      <c r="AD76" s="112">
        <f>+'P01 2024'!DR54</f>
        <v>522.50800000000004</v>
      </c>
      <c r="AE76" s="112">
        <f>'P01 2024'!EG46</f>
        <v>834.798</v>
      </c>
      <c r="AF76" s="115">
        <f>+'P01 2024'!ET41</f>
        <v>920.5</v>
      </c>
      <c r="AG76" s="1086">
        <f>+'P01 2024'!FL58</f>
        <v>313.78399999999999</v>
      </c>
      <c r="AH76" s="915"/>
      <c r="AI76" s="915"/>
      <c r="AJ76" s="915"/>
      <c r="AK76" s="915"/>
      <c r="AL76" s="916"/>
      <c r="BB76" s="201"/>
      <c r="BE76" s="577"/>
      <c r="BF76" s="577"/>
      <c r="BG76" s="198"/>
      <c r="BH76" s="580"/>
      <c r="BI76" s="201"/>
      <c r="BK76" s="201"/>
      <c r="BL76" s="201"/>
      <c r="BR76" s="198"/>
      <c r="BS76" s="161"/>
      <c r="BT76" s="202"/>
      <c r="BU76" s="202"/>
    </row>
    <row r="77" spans="1:73" ht="15" hidden="1" customHeight="1" x14ac:dyDescent="0.25">
      <c r="B77" s="233" t="s">
        <v>362</v>
      </c>
      <c r="C77" s="964"/>
      <c r="D77" s="304"/>
      <c r="E77" s="594"/>
      <c r="F77" s="419">
        <v>5</v>
      </c>
      <c r="G77" s="418" t="str">
        <f>+CONCATENATE($C$10,"",$D$73,"","00",F77)</f>
        <v>21.03.005</v>
      </c>
      <c r="H77" s="812" t="s">
        <v>323</v>
      </c>
      <c r="I77" s="420">
        <f>+'P01 2025'!F63</f>
        <v>93923.562999999995</v>
      </c>
      <c r="J77" s="420">
        <f>+'P01 2025'!U63</f>
        <v>93923.562999999995</v>
      </c>
      <c r="K77" s="420">
        <f ca="1">SUMIF(T$3:$AG69,"ok",T77:AG77)</f>
        <v>6976.0740000000005</v>
      </c>
      <c r="L77" s="563">
        <f t="shared" ca="1" si="13"/>
        <v>7.4273949764874239E-2</v>
      </c>
      <c r="M77" s="420">
        <f>+'P01 2025'!W63</f>
        <v>6976.0739999999996</v>
      </c>
      <c r="N77" s="566">
        <f t="shared" si="14"/>
        <v>7.4273949764874225E-2</v>
      </c>
      <c r="O77" s="430">
        <f t="shared" si="16"/>
        <v>86947.489000000001</v>
      </c>
      <c r="P77" s="228">
        <f t="shared" si="15"/>
        <v>0.92572605023512589</v>
      </c>
      <c r="Q77" s="112">
        <f>+'P01 2024'!X63</f>
        <v>67914.434000000008</v>
      </c>
      <c r="R77" s="425">
        <f ca="1">SUMIF(T$3:$AG70,"SI",T77:AG77)</f>
        <v>19846.876052</v>
      </c>
      <c r="S77" s="227">
        <f t="shared" ca="1" si="11"/>
        <v>0.29223354864446044</v>
      </c>
      <c r="T77" s="422">
        <f>+'P01 2025'!G63</f>
        <v>4650.7160000000003</v>
      </c>
      <c r="U77" s="805">
        <f>+'P01 2024'!K63</f>
        <v>10340.976804</v>
      </c>
      <c r="V77" s="805">
        <f>+'P01 2025'!N40</f>
        <v>2325.3580000000002</v>
      </c>
      <c r="W77" s="422">
        <f>+'P01 2024'!Q42</f>
        <v>9505.8992480000015</v>
      </c>
      <c r="X77" s="944">
        <f>+'P01 2024'!AE53</f>
        <v>15456.563</v>
      </c>
      <c r="Y77" s="112">
        <f>+'P01 2024'!AT46</f>
        <v>10997.848</v>
      </c>
      <c r="Z77" s="112">
        <f>+'P01 2024'!BI42</f>
        <v>9155.2829999999994</v>
      </c>
      <c r="AA77" s="112">
        <f>+'P01 2024'!BX55</f>
        <v>12852.453</v>
      </c>
      <c r="AB77" s="112">
        <f>+'P01 2024'!CM55</f>
        <v>5899.8919999999998</v>
      </c>
      <c r="AC77" s="241">
        <f>+'P01 2024'!DB55</f>
        <v>3796.788</v>
      </c>
      <c r="AD77" s="112">
        <f>+'P01 2024'!DR55</f>
        <v>1438.6279999999999</v>
      </c>
      <c r="AE77" s="112">
        <f>'P01 2024'!EG47</f>
        <v>3349.8159999999998</v>
      </c>
      <c r="AF77" s="115">
        <f>+'P01 2024'!ET42</f>
        <v>3126.8180000000002</v>
      </c>
      <c r="AG77" s="1086">
        <f>+'P01 2024'!FL59</f>
        <v>8801.0300000000007</v>
      </c>
      <c r="AH77" s="915"/>
      <c r="AI77" s="915"/>
      <c r="AJ77" s="915"/>
      <c r="AK77" s="915"/>
      <c r="AL77" s="916"/>
      <c r="BB77" s="201"/>
      <c r="BC77" s="932"/>
      <c r="BD77" s="932"/>
      <c r="BE77" s="933"/>
      <c r="BF77" s="933"/>
      <c r="BG77" s="198"/>
      <c r="BH77" s="580"/>
      <c r="BI77" s="201"/>
      <c r="BK77" s="201"/>
      <c r="BL77" s="201"/>
      <c r="BR77" s="198"/>
      <c r="BS77" s="161"/>
      <c r="BT77" s="202"/>
      <c r="BU77" s="202"/>
    </row>
    <row r="78" spans="1:73" ht="15" hidden="1" customHeight="1" x14ac:dyDescent="0.25">
      <c r="B78" s="233" t="s">
        <v>363</v>
      </c>
      <c r="C78" s="964"/>
      <c r="D78" s="304"/>
      <c r="E78" s="419"/>
      <c r="F78" s="419">
        <v>7</v>
      </c>
      <c r="G78" s="418" t="s">
        <v>753</v>
      </c>
      <c r="H78" s="896" t="s">
        <v>309</v>
      </c>
      <c r="I78" s="342">
        <v>0</v>
      </c>
      <c r="J78" s="436">
        <v>0</v>
      </c>
      <c r="K78" s="436">
        <f ca="1">SUMIF(T$3:$AG70,"ok",T78:AG78)</f>
        <v>0</v>
      </c>
      <c r="L78" s="566">
        <f t="shared" ca="1" si="13"/>
        <v>0</v>
      </c>
      <c r="M78" s="436">
        <v>0</v>
      </c>
      <c r="N78" s="566">
        <f t="shared" si="14"/>
        <v>0</v>
      </c>
      <c r="O78" s="436">
        <f t="shared" si="16"/>
        <v>0</v>
      </c>
      <c r="P78" s="228">
        <f t="shared" si="15"/>
        <v>0</v>
      </c>
      <c r="Q78" s="112">
        <v>0</v>
      </c>
      <c r="R78" s="425">
        <f ca="1">SUMIF(T$3:$AG71,"SI",T78:AG78)</f>
        <v>0</v>
      </c>
      <c r="S78" s="227" t="str">
        <f t="shared" ca="1" si="11"/>
        <v>0,00%</v>
      </c>
      <c r="T78" s="422">
        <v>0</v>
      </c>
      <c r="U78" s="805">
        <v>0</v>
      </c>
      <c r="V78" s="805">
        <v>0</v>
      </c>
      <c r="W78" s="441">
        <v>0</v>
      </c>
      <c r="X78" s="944">
        <v>0</v>
      </c>
      <c r="Y78" s="112">
        <v>0</v>
      </c>
      <c r="Z78" s="112">
        <v>0</v>
      </c>
      <c r="AA78" s="112">
        <v>0</v>
      </c>
      <c r="AB78" s="112">
        <v>0</v>
      </c>
      <c r="AC78" s="241">
        <v>0</v>
      </c>
      <c r="AD78" s="112">
        <v>0</v>
      </c>
      <c r="AE78" s="112">
        <v>0</v>
      </c>
      <c r="AF78" s="112">
        <v>0</v>
      </c>
      <c r="AG78" s="1086">
        <v>0</v>
      </c>
      <c r="AH78" s="915"/>
      <c r="AI78" s="915"/>
      <c r="AJ78" s="915"/>
      <c r="AK78" s="915"/>
      <c r="AL78" s="916"/>
      <c r="BB78" s="201"/>
      <c r="BC78" s="932"/>
      <c r="BD78" s="932"/>
      <c r="BE78" s="933"/>
      <c r="BF78" s="933"/>
      <c r="BG78" s="198"/>
      <c r="BH78" s="580"/>
      <c r="BI78" s="201"/>
      <c r="BK78" s="201"/>
      <c r="BL78" s="201"/>
      <c r="BR78" s="198"/>
      <c r="BS78" s="161"/>
      <c r="BT78" s="202"/>
      <c r="BU78" s="202"/>
    </row>
    <row r="79" spans="1:73" s="439" customFormat="1" ht="15" hidden="1" customHeight="1" x14ac:dyDescent="0.25">
      <c r="A79" s="459"/>
      <c r="B79" s="584" t="s">
        <v>990</v>
      </c>
      <c r="C79" s="965"/>
      <c r="D79" s="238"/>
      <c r="E79" s="424" t="s">
        <v>157</v>
      </c>
      <c r="F79" s="424">
        <v>999</v>
      </c>
      <c r="G79" s="796" t="s">
        <v>1024</v>
      </c>
      <c r="H79" s="980" t="s">
        <v>994</v>
      </c>
      <c r="I79" s="195">
        <v>0</v>
      </c>
      <c r="J79" s="415">
        <v>0</v>
      </c>
      <c r="K79" s="415">
        <f ca="1">SUMIF(T$3:$AG70,"ok",T79:AG79)</f>
        <v>0</v>
      </c>
      <c r="L79" s="567">
        <f t="shared" ca="1" si="13"/>
        <v>0</v>
      </c>
      <c r="M79" s="415">
        <v>0</v>
      </c>
      <c r="N79" s="567">
        <f t="shared" si="14"/>
        <v>0</v>
      </c>
      <c r="O79" s="415">
        <f t="shared" si="16"/>
        <v>0</v>
      </c>
      <c r="P79" s="691">
        <f t="shared" si="15"/>
        <v>0</v>
      </c>
      <c r="Q79" s="208">
        <v>0</v>
      </c>
      <c r="R79" s="442">
        <f ca="1">SUMIF(T$3:$AG72,"SI",T79:AG79)</f>
        <v>0</v>
      </c>
      <c r="S79" s="226" t="str">
        <f t="shared" ca="1" si="11"/>
        <v>0,00%</v>
      </c>
      <c r="T79" s="962">
        <v>0</v>
      </c>
      <c r="U79" s="809">
        <v>0</v>
      </c>
      <c r="V79" s="809">
        <v>0</v>
      </c>
      <c r="W79" s="445"/>
      <c r="X79" s="947"/>
      <c r="Y79" s="208"/>
      <c r="Z79" s="208"/>
      <c r="AA79" s="208"/>
      <c r="AB79" s="208"/>
      <c r="AC79" s="109"/>
      <c r="AD79" s="208"/>
      <c r="AE79" s="208"/>
      <c r="AF79" s="208"/>
      <c r="AG79" s="1006">
        <f>+'P01 2024'!FL60</f>
        <v>425.30099999999999</v>
      </c>
      <c r="AH79" s="915"/>
      <c r="AI79" s="915"/>
      <c r="AJ79" s="915"/>
      <c r="AK79" s="915"/>
      <c r="AL79" s="916"/>
      <c r="AM79" s="210"/>
      <c r="AN79" s="210"/>
      <c r="AO79" s="210"/>
      <c r="AP79" s="210"/>
      <c r="AQ79" s="210"/>
      <c r="AR79" s="210"/>
      <c r="AS79" s="210"/>
      <c r="AT79" s="210"/>
      <c r="AU79" s="210"/>
      <c r="AV79" s="210"/>
      <c r="AW79" s="210"/>
      <c r="AX79" s="201"/>
      <c r="AY79" s="201"/>
      <c r="AZ79" s="201"/>
      <c r="BA79" s="201"/>
      <c r="BB79" s="201"/>
      <c r="BC79" s="905"/>
      <c r="BD79" s="905"/>
      <c r="BE79" s="577"/>
      <c r="BF79" s="577"/>
      <c r="BG79" s="198"/>
      <c r="BH79" s="580"/>
      <c r="BI79" s="201"/>
      <c r="BJ79" s="258"/>
      <c r="BK79" s="211"/>
      <c r="BL79" s="211"/>
      <c r="BM79" s="258"/>
      <c r="BN79" s="258"/>
      <c r="BO79" s="258"/>
      <c r="BP79" s="258"/>
      <c r="BQ79" s="211"/>
      <c r="BR79" s="213"/>
      <c r="BS79" s="212"/>
      <c r="BT79" s="214"/>
      <c r="BU79" s="214"/>
    </row>
    <row r="80" spans="1:73" ht="15" customHeight="1" x14ac:dyDescent="0.25">
      <c r="B80" s="233" t="s">
        <v>364</v>
      </c>
      <c r="C80" s="961">
        <v>22</v>
      </c>
      <c r="D80" s="238"/>
      <c r="E80" s="424"/>
      <c r="F80" s="424"/>
      <c r="G80" s="424"/>
      <c r="H80" s="980" t="s">
        <v>15</v>
      </c>
      <c r="I80" s="574">
        <f>+'P01 2025'!F64+147200</f>
        <v>2943989</v>
      </c>
      <c r="J80" s="432">
        <f>+'P01 2025'!U64</f>
        <v>2796789</v>
      </c>
      <c r="K80" s="415">
        <f ca="1">SUMIF(T$3:$AG71,"ok",T80:AG80)</f>
        <v>172037.897</v>
      </c>
      <c r="L80" s="567">
        <f t="shared" ca="1" si="13"/>
        <v>6.1512647897285062E-2</v>
      </c>
      <c r="M80" s="432">
        <f>+'P01 2025'!W64</f>
        <v>2312863.0699999998</v>
      </c>
      <c r="N80" s="567">
        <f t="shared" si="14"/>
        <v>0.82697088339520786</v>
      </c>
      <c r="O80" s="432">
        <f t="shared" si="16"/>
        <v>483925.93000000017</v>
      </c>
      <c r="P80" s="691">
        <f t="shared" si="15"/>
        <v>0.1730291166047922</v>
      </c>
      <c r="Q80" s="442">
        <f>+'P01 2024'!X64</f>
        <v>2641538.7719999999</v>
      </c>
      <c r="R80" s="442">
        <f ca="1">+R83+R87+R89+R103+R112+R120+R123+R131+R136+R139+R144</f>
        <v>191538.169482</v>
      </c>
      <c r="S80" s="562">
        <f t="shared" ca="1" si="11"/>
        <v>7.2510073110522572E-2</v>
      </c>
      <c r="T80" s="806">
        <f>+'P01 2025'!G64</f>
        <v>26731.971000000001</v>
      </c>
      <c r="U80" s="804">
        <f>+'P01 2024'!K64</f>
        <v>50364.214518000001</v>
      </c>
      <c r="V80" s="804">
        <f>+'P01 2025'!N41</f>
        <v>145305.92600000001</v>
      </c>
      <c r="W80" s="208">
        <f>+'P01 2024'!Q43</f>
        <v>141173.954964</v>
      </c>
      <c r="X80" s="943">
        <f>+'P01 2024'!AE54</f>
        <v>336048.79</v>
      </c>
      <c r="Y80" s="208">
        <f>+'P01 2024'!AT47</f>
        <v>272454.29700000002</v>
      </c>
      <c r="Z80" s="208">
        <f>+'P01 2024'!BI43</f>
        <v>291375.77500000002</v>
      </c>
      <c r="AA80" s="208">
        <f>+'P01 2024'!BX56</f>
        <v>362576.32699999999</v>
      </c>
      <c r="AB80" s="208">
        <f>+'P01 2024'!CM56</f>
        <v>519970.87099999998</v>
      </c>
      <c r="AC80" s="109">
        <f>+'P01 2024'!DB56</f>
        <v>316256.89799999999</v>
      </c>
      <c r="AD80" s="208">
        <f>+'P01 2024'!DR56</f>
        <v>414369.51199999999</v>
      </c>
      <c r="AE80" s="225">
        <f>'P01 2024'!EG48</f>
        <v>321459.98700000002</v>
      </c>
      <c r="AF80" s="225">
        <f>+'P01 2024'!ET43</f>
        <v>550158.63199999998</v>
      </c>
      <c r="AG80" s="1005">
        <f>+'P01 2024'!FL61</f>
        <v>607707.17700000003</v>
      </c>
      <c r="AH80" s="915"/>
      <c r="AI80" s="915"/>
      <c r="AJ80" s="915"/>
      <c r="AK80" s="915"/>
      <c r="AL80" s="916"/>
      <c r="BB80" s="201"/>
      <c r="BE80" s="577"/>
      <c r="BF80" s="577"/>
      <c r="BG80" s="198"/>
      <c r="BH80" s="580"/>
      <c r="BI80" s="201"/>
      <c r="BK80" s="201"/>
      <c r="BL80" s="201"/>
      <c r="BR80" s="198"/>
      <c r="BS80" s="161"/>
      <c r="BT80" s="202"/>
      <c r="BU80" s="202"/>
    </row>
    <row r="81" spans="1:73" ht="15" hidden="1" customHeight="1" x14ac:dyDescent="0.25">
      <c r="B81" s="233" t="s">
        <v>1064</v>
      </c>
      <c r="C81" s="961"/>
      <c r="D81" s="238"/>
      <c r="E81" s="424"/>
      <c r="F81" s="424"/>
      <c r="G81" s="424"/>
      <c r="H81" s="980" t="s">
        <v>1066</v>
      </c>
      <c r="I81" s="574">
        <v>0</v>
      </c>
      <c r="J81" s="432">
        <f>+'P01 2025'!U65</f>
        <v>150</v>
      </c>
      <c r="K81" s="415">
        <f ca="1">SUMIF(T$3:$AG72,"ok",T81:AG81)</f>
        <v>0</v>
      </c>
      <c r="L81" s="567">
        <f t="shared" ca="1" si="13"/>
        <v>0</v>
      </c>
      <c r="M81" s="432">
        <f>+'P01 2025'!W65</f>
        <v>149.999</v>
      </c>
      <c r="N81" s="567">
        <f t="shared" si="14"/>
        <v>0.99999333333333329</v>
      </c>
      <c r="O81" s="432">
        <f t="shared" si="16"/>
        <v>1.0000000000047748E-3</v>
      </c>
      <c r="P81" s="691">
        <f t="shared" si="15"/>
        <v>6.666666666698499E-6</v>
      </c>
      <c r="Q81" s="442">
        <v>0</v>
      </c>
      <c r="R81" s="442">
        <v>0</v>
      </c>
      <c r="S81" s="562">
        <v>0</v>
      </c>
      <c r="T81" s="806"/>
      <c r="U81" s="804"/>
      <c r="V81" s="804">
        <v>0</v>
      </c>
      <c r="W81" s="208">
        <v>0</v>
      </c>
      <c r="X81" s="943"/>
      <c r="Y81" s="208"/>
      <c r="Z81" s="208"/>
      <c r="AA81" s="208"/>
      <c r="AB81" s="208"/>
      <c r="AC81" s="109"/>
      <c r="AD81" s="208"/>
      <c r="AE81" s="225"/>
      <c r="AF81" s="225"/>
      <c r="AG81" s="1005"/>
      <c r="AH81" s="915"/>
      <c r="AI81" s="915"/>
      <c r="AJ81" s="915"/>
      <c r="AK81" s="915"/>
      <c r="AL81" s="916"/>
      <c r="BB81" s="201"/>
      <c r="BE81" s="577"/>
      <c r="BF81" s="577"/>
      <c r="BG81" s="198"/>
      <c r="BH81" s="580"/>
      <c r="BI81" s="201"/>
      <c r="BK81" s="201"/>
      <c r="BL81" s="201"/>
      <c r="BR81" s="198"/>
      <c r="BS81" s="161"/>
      <c r="BT81" s="202"/>
      <c r="BU81" s="202"/>
    </row>
    <row r="82" spans="1:73" s="107" customFormat="1" ht="15" hidden="1" customHeight="1" x14ac:dyDescent="0.25">
      <c r="B82" s="233" t="s">
        <v>1065</v>
      </c>
      <c r="C82" s="966"/>
      <c r="D82" s="934"/>
      <c r="E82" s="119"/>
      <c r="F82" s="119"/>
      <c r="G82" s="119"/>
      <c r="H82" s="730" t="s">
        <v>1067</v>
      </c>
      <c r="I82" s="712">
        <v>0</v>
      </c>
      <c r="J82" s="558">
        <f>+'P01 2025'!U66</f>
        <v>150</v>
      </c>
      <c r="K82" s="558">
        <f ca="1">SUMIF(T$3:$AG73,"ok",T82:AG82)</f>
        <v>0</v>
      </c>
      <c r="L82" s="979">
        <f t="shared" ca="1" si="13"/>
        <v>0</v>
      </c>
      <c r="M82" s="558">
        <f>+'P01 2025'!W66</f>
        <v>149.999</v>
      </c>
      <c r="N82" s="979">
        <f t="shared" si="14"/>
        <v>0.99999333333333329</v>
      </c>
      <c r="O82" s="558">
        <f t="shared" si="16"/>
        <v>1.0000000000047748E-3</v>
      </c>
      <c r="P82" s="696">
        <f t="shared" si="15"/>
        <v>6.666666666698499E-6</v>
      </c>
      <c r="Q82" s="938">
        <v>0</v>
      </c>
      <c r="R82" s="938">
        <v>0</v>
      </c>
      <c r="S82" s="975">
        <v>0</v>
      </c>
      <c r="T82" s="882"/>
      <c r="U82" s="935"/>
      <c r="V82" s="935">
        <v>0</v>
      </c>
      <c r="W82" s="302">
        <v>0</v>
      </c>
      <c r="X82" s="948"/>
      <c r="Y82" s="302"/>
      <c r="Z82" s="302"/>
      <c r="AA82" s="302"/>
      <c r="AB82" s="302"/>
      <c r="AC82" s="302"/>
      <c r="AD82" s="302"/>
      <c r="AE82" s="939"/>
      <c r="AF82" s="939"/>
      <c r="AG82" s="1088"/>
      <c r="AH82" s="936"/>
      <c r="AI82" s="936"/>
      <c r="AJ82" s="936"/>
      <c r="AK82" s="936"/>
      <c r="AL82" s="937"/>
      <c r="AM82" s="940"/>
      <c r="AN82" s="940"/>
      <c r="AO82" s="940"/>
      <c r="AP82" s="940"/>
      <c r="AQ82" s="940"/>
      <c r="AR82" s="940"/>
      <c r="AS82" s="940"/>
      <c r="AT82" s="940"/>
      <c r="AU82" s="940"/>
      <c r="AV82" s="940"/>
      <c r="AW82" s="940"/>
      <c r="AX82" s="219"/>
      <c r="AY82" s="219"/>
      <c r="AZ82" s="219"/>
      <c r="BA82" s="219"/>
      <c r="BB82" s="219"/>
      <c r="BC82" s="932"/>
      <c r="BD82" s="932"/>
      <c r="BE82" s="933"/>
      <c r="BF82" s="933"/>
      <c r="BG82" s="220"/>
      <c r="BH82" s="581"/>
      <c r="BI82" s="219"/>
      <c r="BJ82" s="940"/>
      <c r="BK82" s="219"/>
      <c r="BL82" s="219"/>
      <c r="BM82" s="940"/>
      <c r="BN82" s="940"/>
      <c r="BO82" s="940"/>
      <c r="BP82" s="940"/>
      <c r="BQ82" s="219"/>
      <c r="BR82" s="220"/>
      <c r="BS82" s="203"/>
      <c r="BT82" s="221"/>
      <c r="BU82" s="221"/>
    </row>
    <row r="83" spans="1:73" s="417" customFormat="1" ht="15" hidden="1" customHeight="1" x14ac:dyDescent="0.25">
      <c r="A83" s="107"/>
      <c r="B83" s="233" t="s">
        <v>365</v>
      </c>
      <c r="C83" s="967" t="s">
        <v>328</v>
      </c>
      <c r="D83" s="600" t="s">
        <v>162</v>
      </c>
      <c r="E83" s="443"/>
      <c r="F83" s="443"/>
      <c r="G83" s="443"/>
      <c r="H83" s="810" t="s">
        <v>44</v>
      </c>
      <c r="I83" s="574">
        <f>+'P01 2025'!F65</f>
        <v>23000</v>
      </c>
      <c r="J83" s="432">
        <f>+'P01 2025'!U67</f>
        <v>23000</v>
      </c>
      <c r="K83" s="415">
        <f ca="1">SUMIF(T$3:$AG72,"ok",T83:AG83)</f>
        <v>7179.3919999999998</v>
      </c>
      <c r="L83" s="567">
        <f t="shared" ca="1" si="13"/>
        <v>0.31214747826086958</v>
      </c>
      <c r="M83" s="432">
        <f>+'P01 2025'!W67</f>
        <v>7179.3919999999998</v>
      </c>
      <c r="N83" s="567">
        <f t="shared" si="14"/>
        <v>0.31214747826086958</v>
      </c>
      <c r="O83" s="444">
        <f t="shared" si="16"/>
        <v>15820.608</v>
      </c>
      <c r="P83" s="691">
        <f t="shared" si="15"/>
        <v>0.68785252173913047</v>
      </c>
      <c r="Q83" s="442">
        <f>+'P01 2024'!X65</f>
        <v>28011.907818000003</v>
      </c>
      <c r="R83" s="445">
        <f ca="1">+SUM(R84:R86)</f>
        <v>6446.1600280000002</v>
      </c>
      <c r="S83" s="562">
        <f t="shared" ca="1" si="11"/>
        <v>0.23012213483930577</v>
      </c>
      <c r="T83" s="806">
        <f>+'P01 2025'!G65</f>
        <v>0</v>
      </c>
      <c r="U83" s="804">
        <f>+'P01 2024'!K65</f>
        <v>0</v>
      </c>
      <c r="V83" s="804">
        <f>+'P01 2025'!N42</f>
        <v>7179.3919999999998</v>
      </c>
      <c r="W83" s="208">
        <f>+'P01 2024'!Q44</f>
        <v>6446.1600280000002</v>
      </c>
      <c r="X83" s="943">
        <f>+'P01 2024'!AE55</f>
        <v>428.4</v>
      </c>
      <c r="Y83" s="208">
        <f>+'P01 2024'!AT48</f>
        <v>130.87799999999999</v>
      </c>
      <c r="Z83" s="433">
        <v>0</v>
      </c>
      <c r="AA83" s="208">
        <f>+'P01 2024'!BX57</f>
        <v>7774.1549999999997</v>
      </c>
      <c r="AB83" s="208">
        <f>+'P01 2024'!CM57</f>
        <v>4566.5060000000003</v>
      </c>
      <c r="AC83" s="109">
        <f>+'P01 2024'!DB57</f>
        <v>416.5</v>
      </c>
      <c r="AD83" s="208">
        <v>0</v>
      </c>
      <c r="AE83" s="225">
        <f>'P01 2024'!EG49</f>
        <v>7548.3410000000003</v>
      </c>
      <c r="AF83" s="225">
        <f>+'P01 2024'!ET44</f>
        <v>1050.509</v>
      </c>
      <c r="AG83" s="1063">
        <v>0</v>
      </c>
      <c r="AH83" s="915"/>
      <c r="AI83" s="915"/>
      <c r="AJ83" s="915"/>
      <c r="AK83" s="915"/>
      <c r="AL83" s="916"/>
      <c r="AM83" s="210"/>
      <c r="AN83" s="210"/>
      <c r="AO83" s="210"/>
      <c r="AP83" s="210"/>
      <c r="AQ83" s="210"/>
      <c r="AR83" s="210"/>
      <c r="AS83" s="210"/>
      <c r="AT83" s="210"/>
      <c r="AU83" s="210"/>
      <c r="AV83" s="210"/>
      <c r="AW83" s="210"/>
      <c r="AX83" s="201"/>
      <c r="AY83" s="201"/>
      <c r="AZ83" s="201"/>
      <c r="BA83" s="201"/>
      <c r="BB83" s="201"/>
      <c r="BC83" s="905"/>
      <c r="BD83" s="905"/>
      <c r="BE83" s="577"/>
      <c r="BF83" s="577"/>
      <c r="BG83" s="198"/>
      <c r="BH83" s="580"/>
      <c r="BI83" s="201"/>
      <c r="BJ83" s="210"/>
      <c r="BK83" s="201"/>
      <c r="BL83" s="201"/>
      <c r="BM83" s="210"/>
      <c r="BN83" s="210"/>
      <c r="BO83" s="210"/>
      <c r="BP83" s="210"/>
      <c r="BQ83" s="201"/>
      <c r="BR83" s="198"/>
      <c r="BS83" s="161"/>
      <c r="BT83" s="202"/>
      <c r="BU83" s="202"/>
    </row>
    <row r="84" spans="1:73" ht="15" hidden="1" customHeight="1" x14ac:dyDescent="0.25">
      <c r="B84" s="233" t="s">
        <v>951</v>
      </c>
      <c r="C84" s="695" t="s">
        <v>328</v>
      </c>
      <c r="D84" s="604"/>
      <c r="E84" s="447" t="s">
        <v>167</v>
      </c>
      <c r="F84" s="447"/>
      <c r="G84" s="448" t="s">
        <v>719</v>
      </c>
      <c r="H84" s="611" t="s">
        <v>454</v>
      </c>
      <c r="I84" s="342">
        <v>0</v>
      </c>
      <c r="J84" s="436">
        <v>0</v>
      </c>
      <c r="K84" s="436">
        <f ca="1">SUMIF(T$3:$AG73,"ok",T84:AG84)</f>
        <v>0</v>
      </c>
      <c r="L84" s="566">
        <f t="shared" ca="1" si="13"/>
        <v>0</v>
      </c>
      <c r="M84" s="420">
        <v>0</v>
      </c>
      <c r="N84" s="566">
        <f t="shared" si="14"/>
        <v>0</v>
      </c>
      <c r="O84" s="436">
        <f t="shared" si="16"/>
        <v>0</v>
      </c>
      <c r="P84" s="228">
        <f t="shared" si="15"/>
        <v>0</v>
      </c>
      <c r="Q84" s="112">
        <v>0</v>
      </c>
      <c r="R84" s="425">
        <f ca="1">SUMIF(T$3:$AG73,"SI",T84:AG84)</f>
        <v>0</v>
      </c>
      <c r="S84" s="227" t="str">
        <f t="shared" ref="S84:S116" ca="1" si="17">IFERROR(R84/Q84,"0,00%")</f>
        <v>0,00%</v>
      </c>
      <c r="T84" s="422">
        <v>0</v>
      </c>
      <c r="U84" s="805">
        <v>0</v>
      </c>
      <c r="V84" s="805">
        <v>0</v>
      </c>
      <c r="W84" s="441">
        <v>0</v>
      </c>
      <c r="X84" s="944">
        <v>0</v>
      </c>
      <c r="Y84" s="449">
        <v>0</v>
      </c>
      <c r="Z84" s="449">
        <v>0</v>
      </c>
      <c r="AA84" s="449">
        <v>0</v>
      </c>
      <c r="AB84" s="449">
        <v>0</v>
      </c>
      <c r="AC84" s="241">
        <v>0</v>
      </c>
      <c r="AD84" s="112">
        <v>0</v>
      </c>
      <c r="AE84" s="449">
        <v>0</v>
      </c>
      <c r="AF84" s="115">
        <v>0</v>
      </c>
      <c r="AG84" s="1087">
        <v>0</v>
      </c>
      <c r="AH84" s="915"/>
      <c r="AI84" s="915"/>
      <c r="AJ84" s="915"/>
      <c r="AK84" s="915"/>
      <c r="AL84" s="916"/>
      <c r="BB84" s="201"/>
      <c r="BE84" s="577"/>
      <c r="BF84" s="577"/>
      <c r="BG84" s="198"/>
      <c r="BH84" s="580"/>
      <c r="BI84" s="201"/>
      <c r="BK84" s="201"/>
      <c r="BL84" s="201"/>
      <c r="BR84" s="198"/>
      <c r="BS84" s="161"/>
      <c r="BT84" s="202"/>
      <c r="BU84" s="202"/>
    </row>
    <row r="85" spans="1:73" ht="15" hidden="1" customHeight="1" x14ac:dyDescent="0.25">
      <c r="B85" s="233" t="s">
        <v>552</v>
      </c>
      <c r="C85" s="964"/>
      <c r="D85" s="304"/>
      <c r="E85" s="419" t="s">
        <v>163</v>
      </c>
      <c r="F85" s="419"/>
      <c r="G85" s="418" t="str">
        <f>+CONCATENATE($C$80,"",$D$83,"",$E$85)</f>
        <v>22.02.002</v>
      </c>
      <c r="H85" s="812" t="s">
        <v>45</v>
      </c>
      <c r="I85" s="807">
        <f>+'P01 2025'!F66</f>
        <v>18000</v>
      </c>
      <c r="J85" s="423">
        <f>+'P01 2025'!U68</f>
        <v>18000</v>
      </c>
      <c r="K85" s="436">
        <f ca="1">SUMIF(T$3:$AG74,"ok",T85:AG85)</f>
        <v>5947.5680000000002</v>
      </c>
      <c r="L85" s="565">
        <f t="shared" ca="1" si="13"/>
        <v>0.33042044444444446</v>
      </c>
      <c r="M85" s="420">
        <f>+'P01 2025'!W68</f>
        <v>5947.5680000000002</v>
      </c>
      <c r="N85" s="565">
        <f t="shared" si="14"/>
        <v>0.33042044444444446</v>
      </c>
      <c r="O85" s="423">
        <f t="shared" si="16"/>
        <v>12052.432000000001</v>
      </c>
      <c r="P85" s="228">
        <f t="shared" si="15"/>
        <v>0.66957955555555559</v>
      </c>
      <c r="Q85" s="112">
        <f>+'P01 2024'!X66</f>
        <v>18615.017400000001</v>
      </c>
      <c r="R85" s="425">
        <f ca="1">SUMIF(T$3:$AG74,"SI",T85:AG85)</f>
        <v>644.16961000000003</v>
      </c>
      <c r="S85" s="227">
        <f t="shared" ca="1" si="17"/>
        <v>3.4604835233729085E-2</v>
      </c>
      <c r="T85" s="422">
        <f>+'P01 2025'!G66</f>
        <v>0</v>
      </c>
      <c r="U85" s="805">
        <f>+'P01 2024'!K66</f>
        <v>0</v>
      </c>
      <c r="V85" s="805">
        <f>+'P01 2025'!N43</f>
        <v>5947.5680000000002</v>
      </c>
      <c r="W85" s="441">
        <f>+'P01 2024'!Q45</f>
        <v>644.16961000000003</v>
      </c>
      <c r="X85" s="944">
        <f>+'P01 2024'!AE56</f>
        <v>428.4</v>
      </c>
      <c r="Y85" s="112">
        <f>+'P01 2024'!AT49</f>
        <v>130.87799999999999</v>
      </c>
      <c r="Z85" s="112">
        <v>0</v>
      </c>
      <c r="AA85" s="112">
        <f>+'P01 2024'!BX58</f>
        <v>6374.3549999999996</v>
      </c>
      <c r="AB85" s="449">
        <f>+'P01 2024'!CM58</f>
        <v>2469.4879999999998</v>
      </c>
      <c r="AC85" s="241">
        <f>+'P01 2024'!DB58</f>
        <v>416.5</v>
      </c>
      <c r="AD85" s="112">
        <v>0</v>
      </c>
      <c r="AE85" s="112">
        <f>'P01 2024'!EG50</f>
        <v>7548.3410000000003</v>
      </c>
      <c r="AF85" s="112">
        <f>+'P01 2024'!ET45</f>
        <v>1050.509</v>
      </c>
      <c r="AG85" s="1087">
        <v>0</v>
      </c>
      <c r="AH85" s="915"/>
      <c r="AI85" s="915"/>
      <c r="AJ85" s="915"/>
      <c r="AK85" s="915"/>
      <c r="AL85" s="916"/>
      <c r="BB85" s="201"/>
      <c r="BE85" s="577"/>
      <c r="BF85" s="577"/>
      <c r="BG85" s="198"/>
      <c r="BH85" s="580"/>
      <c r="BI85" s="201"/>
      <c r="BK85" s="201"/>
      <c r="BL85" s="201"/>
      <c r="BR85" s="198"/>
      <c r="BS85" s="161"/>
      <c r="BT85" s="202"/>
      <c r="BU85" s="202"/>
    </row>
    <row r="86" spans="1:73" ht="15" hidden="1" customHeight="1" x14ac:dyDescent="0.25">
      <c r="B86" s="233" t="s">
        <v>366</v>
      </c>
      <c r="C86" s="964"/>
      <c r="D86" s="304"/>
      <c r="E86" s="419" t="s">
        <v>164</v>
      </c>
      <c r="F86" s="419"/>
      <c r="G86" s="418" t="str">
        <f>+CONCATENATE($C$80,"",$D$83,"",E86)</f>
        <v>22.02.003</v>
      </c>
      <c r="H86" s="812" t="s">
        <v>125</v>
      </c>
      <c r="I86" s="807">
        <f>+'P01 2025'!F67</f>
        <v>5000</v>
      </c>
      <c r="J86" s="423">
        <f>+'P01 2025'!U69</f>
        <v>5000</v>
      </c>
      <c r="K86" s="420">
        <f ca="1">SUMIF(T$3:$AG75,"ok",T86:AG86)</f>
        <v>1231.8240000000001</v>
      </c>
      <c r="L86" s="566">
        <f t="shared" ca="1" si="13"/>
        <v>0.24636480000000002</v>
      </c>
      <c r="M86" s="420">
        <f>+'P01 2025'!W69</f>
        <v>1231.8240000000001</v>
      </c>
      <c r="N86" s="566">
        <f t="shared" si="14"/>
        <v>0.24636480000000002</v>
      </c>
      <c r="O86" s="430">
        <f t="shared" si="16"/>
        <v>3768.1759999999999</v>
      </c>
      <c r="P86" s="228">
        <f t="shared" si="15"/>
        <v>0.75363519999999995</v>
      </c>
      <c r="Q86" s="112">
        <f>+'P01 2024'!X67</f>
        <v>9396.8904180000009</v>
      </c>
      <c r="R86" s="425">
        <f ca="1">SUMIF(T$3:$AG75,"SI",T86:AG86)</f>
        <v>5801.9904180000003</v>
      </c>
      <c r="S86" s="227">
        <f t="shared" ca="1" si="17"/>
        <v>0.61743727551468819</v>
      </c>
      <c r="T86" s="422">
        <f>+'P01 2025'!G67</f>
        <v>0</v>
      </c>
      <c r="U86" s="805">
        <f>+'P01 2024'!K67</f>
        <v>0</v>
      </c>
      <c r="V86" s="805">
        <f>+'P01 2025'!N44</f>
        <v>1231.8240000000001</v>
      </c>
      <c r="W86" s="441">
        <f>+'P01 2024'!Q46</f>
        <v>5801.9904180000003</v>
      </c>
      <c r="X86" s="944">
        <v>0</v>
      </c>
      <c r="Y86" s="112">
        <v>0</v>
      </c>
      <c r="Z86" s="112">
        <v>0</v>
      </c>
      <c r="AA86" s="112">
        <f>+'P01 2024'!BX59</f>
        <v>1399.8</v>
      </c>
      <c r="AB86" s="449">
        <f>+'P01 2024'!CM59</f>
        <v>2097.018</v>
      </c>
      <c r="AC86" s="241">
        <v>0</v>
      </c>
      <c r="AD86" s="112">
        <v>0</v>
      </c>
      <c r="AE86" s="112">
        <v>0</v>
      </c>
      <c r="AF86" s="115">
        <v>0</v>
      </c>
      <c r="AG86" s="1087">
        <v>0</v>
      </c>
      <c r="AH86" s="915"/>
      <c r="AI86" s="915"/>
      <c r="AJ86" s="915"/>
      <c r="AK86" s="915"/>
      <c r="AL86" s="916"/>
      <c r="BB86" s="201"/>
      <c r="BE86" s="577"/>
      <c r="BF86" s="577"/>
      <c r="BG86" s="198"/>
      <c r="BH86" s="580"/>
      <c r="BI86" s="201"/>
      <c r="BK86" s="201"/>
      <c r="BL86" s="201"/>
      <c r="BR86" s="198"/>
      <c r="BS86" s="161"/>
      <c r="BT86" s="202"/>
      <c r="BU86" s="202"/>
    </row>
    <row r="87" spans="1:73" s="417" customFormat="1" ht="15" hidden="1" customHeight="1" x14ac:dyDescent="0.25">
      <c r="A87" s="107"/>
      <c r="B87" s="233" t="s">
        <v>479</v>
      </c>
      <c r="C87" s="961"/>
      <c r="D87" s="238" t="s">
        <v>165</v>
      </c>
      <c r="E87" s="424"/>
      <c r="F87" s="424"/>
      <c r="G87" s="424"/>
      <c r="H87" s="898" t="s">
        <v>46</v>
      </c>
      <c r="I87" s="574">
        <f>+'P01 2025'!F68</f>
        <v>0</v>
      </c>
      <c r="J87" s="574">
        <v>0</v>
      </c>
      <c r="K87" s="574">
        <f ca="1">SUMIF(T$3:$AG76,"ok",T87:AG87)</f>
        <v>0</v>
      </c>
      <c r="L87" s="575">
        <f t="shared" ca="1" si="13"/>
        <v>0</v>
      </c>
      <c r="M87" s="574">
        <v>0</v>
      </c>
      <c r="N87" s="575">
        <f t="shared" si="14"/>
        <v>0</v>
      </c>
      <c r="O87" s="574">
        <f t="shared" si="16"/>
        <v>0</v>
      </c>
      <c r="P87" s="691">
        <f t="shared" si="15"/>
        <v>0</v>
      </c>
      <c r="Q87" s="442">
        <f>+'P01 2024'!X68</f>
        <v>31260</v>
      </c>
      <c r="R87" s="442">
        <f ca="1">SUMIF(T$3:$AG76,"SI",T87:AG87)</f>
        <v>0</v>
      </c>
      <c r="S87" s="562">
        <f t="shared" ca="1" si="17"/>
        <v>0</v>
      </c>
      <c r="T87" s="806">
        <f>+'P01 2025'!G68</f>
        <v>0</v>
      </c>
      <c r="U87" s="804">
        <f>+'P01 2024'!K68</f>
        <v>0</v>
      </c>
      <c r="V87" s="804">
        <v>0</v>
      </c>
      <c r="W87" s="416">
        <v>0</v>
      </c>
      <c r="X87" s="943">
        <v>0</v>
      </c>
      <c r="Y87" s="208">
        <v>0</v>
      </c>
      <c r="Z87" s="208">
        <v>0</v>
      </c>
      <c r="AA87" s="208">
        <f>+'P01 2024'!BX60</f>
        <v>30000</v>
      </c>
      <c r="AB87" s="208">
        <v>0</v>
      </c>
      <c r="AC87" s="109">
        <v>0</v>
      </c>
      <c r="AD87" s="208">
        <v>0</v>
      </c>
      <c r="AE87" s="208">
        <f>SUM(AE88)</f>
        <v>0</v>
      </c>
      <c r="AF87" s="208">
        <f>+'P01 2024'!ET46</f>
        <v>30000</v>
      </c>
      <c r="AG87" s="1005">
        <v>0</v>
      </c>
      <c r="AH87" s="915"/>
      <c r="AI87" s="915"/>
      <c r="AJ87" s="915"/>
      <c r="AK87" s="915"/>
      <c r="AL87" s="916"/>
      <c r="AM87" s="210"/>
      <c r="AN87" s="210"/>
      <c r="AO87" s="210"/>
      <c r="AP87" s="210"/>
      <c r="AQ87" s="210"/>
      <c r="AR87" s="210"/>
      <c r="AS87" s="210"/>
      <c r="AT87" s="210"/>
      <c r="AU87" s="210"/>
      <c r="AV87" s="210"/>
      <c r="AW87" s="210"/>
      <c r="AX87" s="201"/>
      <c r="AY87" s="201"/>
      <c r="AZ87" s="201"/>
      <c r="BA87" s="201"/>
      <c r="BB87" s="201"/>
      <c r="BC87" s="905"/>
      <c r="BD87" s="905"/>
      <c r="BE87" s="577"/>
      <c r="BF87" s="577"/>
      <c r="BG87" s="198"/>
      <c r="BH87" s="580"/>
      <c r="BI87" s="201"/>
      <c r="BJ87" s="210"/>
      <c r="BK87" s="201"/>
      <c r="BL87" s="201"/>
      <c r="BM87" s="210"/>
      <c r="BN87" s="210"/>
      <c r="BO87" s="210"/>
      <c r="BP87" s="210"/>
      <c r="BQ87" s="201"/>
      <c r="BR87" s="198"/>
      <c r="BS87" s="161"/>
      <c r="BT87" s="202"/>
      <c r="BU87" s="202"/>
    </row>
    <row r="88" spans="1:73" ht="15" hidden="1" customHeight="1" x14ac:dyDescent="0.25">
      <c r="B88" s="233" t="s">
        <v>480</v>
      </c>
      <c r="C88" s="964"/>
      <c r="D88" s="304"/>
      <c r="E88" s="419" t="s">
        <v>167</v>
      </c>
      <c r="F88" s="419"/>
      <c r="G88" s="418" t="str">
        <f>+CONCATENATE($C$80,"",$D$87,"",E88)</f>
        <v>22.03.001</v>
      </c>
      <c r="H88" s="812" t="s">
        <v>103</v>
      </c>
      <c r="I88" s="807">
        <f>+'P01 2025'!F69</f>
        <v>0</v>
      </c>
      <c r="J88" s="423">
        <v>0</v>
      </c>
      <c r="K88" s="420">
        <f ca="1">SUMIF(T$3:$AG77,"ok",T88:AG88)</f>
        <v>0</v>
      </c>
      <c r="L88" s="566">
        <f t="shared" ca="1" si="13"/>
        <v>0</v>
      </c>
      <c r="M88" s="423">
        <v>0</v>
      </c>
      <c r="N88" s="566">
        <f t="shared" si="14"/>
        <v>0</v>
      </c>
      <c r="O88" s="430">
        <f t="shared" si="16"/>
        <v>0</v>
      </c>
      <c r="P88" s="228">
        <f t="shared" si="15"/>
        <v>0</v>
      </c>
      <c r="Q88" s="112">
        <f>+'P01 2024'!X69</f>
        <v>31260</v>
      </c>
      <c r="R88" s="425">
        <f ca="1">SUMIF(T$3:$AG77,"SI",T88:AG88)</f>
        <v>0</v>
      </c>
      <c r="S88" s="227">
        <f t="shared" ca="1" si="17"/>
        <v>0</v>
      </c>
      <c r="T88" s="422">
        <f>+'P01 2025'!G69</f>
        <v>0</v>
      </c>
      <c r="U88" s="805">
        <f>+'P01 2024'!K69</f>
        <v>0</v>
      </c>
      <c r="V88" s="805">
        <v>0</v>
      </c>
      <c r="W88" s="441">
        <v>0</v>
      </c>
      <c r="X88" s="944">
        <v>0</v>
      </c>
      <c r="Y88" s="112"/>
      <c r="Z88" s="112">
        <v>0</v>
      </c>
      <c r="AA88" s="112">
        <f>+'P01 2024'!BX61</f>
        <v>30000</v>
      </c>
      <c r="AB88" s="112">
        <v>0</v>
      </c>
      <c r="AC88" s="241">
        <v>0</v>
      </c>
      <c r="AD88" s="112">
        <v>0</v>
      </c>
      <c r="AE88" s="112">
        <v>0</v>
      </c>
      <c r="AF88" s="112">
        <f>+'P01 2024'!ET47</f>
        <v>30000</v>
      </c>
      <c r="AG88" s="1087">
        <v>0</v>
      </c>
      <c r="AH88" s="915"/>
      <c r="AI88" s="915"/>
      <c r="AJ88" s="915"/>
      <c r="AK88" s="915"/>
      <c r="AL88" s="916"/>
      <c r="BB88" s="201"/>
      <c r="BE88" s="577"/>
      <c r="BF88" s="577"/>
      <c r="BG88" s="198"/>
      <c r="BH88" s="580"/>
      <c r="BI88" s="201"/>
      <c r="BK88" s="201"/>
      <c r="BL88" s="201"/>
      <c r="BR88" s="198"/>
      <c r="BS88" s="161"/>
      <c r="BT88" s="202"/>
      <c r="BU88" s="202"/>
    </row>
    <row r="89" spans="1:73" s="417" customFormat="1" ht="15" hidden="1" customHeight="1" x14ac:dyDescent="0.25">
      <c r="A89" s="107"/>
      <c r="B89" s="233" t="s">
        <v>367</v>
      </c>
      <c r="C89" s="961"/>
      <c r="D89" s="238" t="s">
        <v>166</v>
      </c>
      <c r="E89" s="424"/>
      <c r="F89" s="424"/>
      <c r="G89" s="424"/>
      <c r="H89" s="898" t="s">
        <v>47</v>
      </c>
      <c r="I89" s="574">
        <f>+'P01 2025'!F70</f>
        <v>35764.203999999998</v>
      </c>
      <c r="J89" s="574">
        <f>+'P01 2025'!U72</f>
        <v>31627.815999999999</v>
      </c>
      <c r="K89" s="574">
        <f ca="1">SUMIF(T$3:$AG78,"ok",T89:AG89)</f>
        <v>11880.424000000001</v>
      </c>
      <c r="L89" s="575">
        <f t="shared" ca="1" si="13"/>
        <v>0.37563213343596036</v>
      </c>
      <c r="M89" s="574">
        <f>+'P01 2025'!W72</f>
        <v>15818.495000000001</v>
      </c>
      <c r="N89" s="575">
        <f t="shared" si="14"/>
        <v>0.50014503056423498</v>
      </c>
      <c r="O89" s="574">
        <f>J89-M89</f>
        <v>15809.320999999998</v>
      </c>
      <c r="P89" s="575">
        <f t="shared" si="15"/>
        <v>0.49985496943576496</v>
      </c>
      <c r="Q89" s="574">
        <f>+'P01 2024'!X70</f>
        <v>56491.168266000008</v>
      </c>
      <c r="R89" s="574">
        <f ca="1">+SUM(R90:R102)</f>
        <v>5711.1207240000003</v>
      </c>
      <c r="S89" s="562">
        <f t="shared" ca="1" si="17"/>
        <v>0.1010975856811465</v>
      </c>
      <c r="T89" s="806">
        <f>+'P01 2025'!G70</f>
        <v>921.99199999999996</v>
      </c>
      <c r="U89" s="804">
        <f>+'P01 2024'!K70</f>
        <v>1306.992062</v>
      </c>
      <c r="V89" s="804">
        <f>+'P01 2025'!N45</f>
        <v>10958.432000000001</v>
      </c>
      <c r="W89" s="208">
        <f>+'P01 2024'!Q47</f>
        <v>4404.1286620000001</v>
      </c>
      <c r="X89" s="943">
        <f>+'P01 2024'!AE57</f>
        <v>7948.4089999999997</v>
      </c>
      <c r="Y89" s="208">
        <f>+'P01 2024'!AT50</f>
        <v>2777.3409999999999</v>
      </c>
      <c r="Z89" s="208">
        <f>+'P01 2024'!BI44</f>
        <v>2859.4209999999998</v>
      </c>
      <c r="AA89" s="208">
        <f>+'P01 2024'!BX62</f>
        <v>4238.5839999999998</v>
      </c>
      <c r="AB89" s="208">
        <f>+'P01 2024'!CM60</f>
        <v>8358.1589999999997</v>
      </c>
      <c r="AC89" s="109">
        <f>+'P01 2024'!DB59</f>
        <v>10504.249</v>
      </c>
      <c r="AD89" s="208">
        <f>+'P01 2024'!DR57</f>
        <v>1835.2950000000001</v>
      </c>
      <c r="AE89" s="208">
        <f>SUM(AE90:AE102)</f>
        <v>2416.373</v>
      </c>
      <c r="AF89" s="208">
        <f>+'P01 2024'!ET48</f>
        <v>14626.727000000001</v>
      </c>
      <c r="AG89" s="1005">
        <f>+'P01 2024'!FL62</f>
        <v>21562.241000000002</v>
      </c>
      <c r="AH89" s="915"/>
      <c r="AI89" s="915"/>
      <c r="AJ89" s="915"/>
      <c r="AK89" s="915"/>
      <c r="AL89" s="916"/>
      <c r="AM89" s="210"/>
      <c r="AN89" s="210"/>
      <c r="AO89" s="210"/>
      <c r="AP89" s="210"/>
      <c r="AQ89" s="210"/>
      <c r="AR89" s="210"/>
      <c r="AS89" s="210"/>
      <c r="AT89" s="210"/>
      <c r="AU89" s="210"/>
      <c r="AV89" s="210"/>
      <c r="AW89" s="210"/>
      <c r="AX89" s="201"/>
      <c r="AY89" s="201"/>
      <c r="AZ89" s="201"/>
      <c r="BA89" s="201"/>
      <c r="BB89" s="201"/>
      <c r="BC89" s="905"/>
      <c r="BD89" s="905"/>
      <c r="BE89" s="577"/>
      <c r="BF89" s="577"/>
      <c r="BG89" s="198"/>
      <c r="BH89" s="580"/>
      <c r="BI89" s="201"/>
      <c r="BJ89" s="210"/>
      <c r="BK89" s="201"/>
      <c r="BL89" s="201"/>
      <c r="BM89" s="210"/>
      <c r="BN89" s="210"/>
      <c r="BO89" s="210"/>
      <c r="BP89" s="210"/>
      <c r="BQ89" s="201"/>
      <c r="BR89" s="198"/>
      <c r="BS89" s="161"/>
      <c r="BT89" s="202"/>
      <c r="BU89" s="202"/>
    </row>
    <row r="90" spans="1:73" ht="15" hidden="1" customHeight="1" x14ac:dyDescent="0.25">
      <c r="B90" s="233" t="s">
        <v>368</v>
      </c>
      <c r="C90" s="964"/>
      <c r="D90" s="304"/>
      <c r="E90" s="419" t="s">
        <v>167</v>
      </c>
      <c r="F90" s="419"/>
      <c r="G90" s="418" t="str">
        <f>+CONCATENATE($C$80,"",$D$89,"",E90)</f>
        <v>22.04.001</v>
      </c>
      <c r="H90" s="812" t="s">
        <v>104</v>
      </c>
      <c r="I90" s="807">
        <f>+'P01 2025'!F71</f>
        <v>10321.700000000001</v>
      </c>
      <c r="J90" s="423">
        <f>+'P01 2025'!U73</f>
        <v>6203.9780000000001</v>
      </c>
      <c r="K90" s="450">
        <f ca="1">SUMIF(T$3:$AG80,"ok",T90:AG90)</f>
        <v>3342.4780000000001</v>
      </c>
      <c r="L90" s="566">
        <f t="shared" ca="1" si="13"/>
        <v>0.53876367711168549</v>
      </c>
      <c r="M90" s="423">
        <f>+'P01 2025'!W73</f>
        <v>3342.4780000000001</v>
      </c>
      <c r="N90" s="566">
        <f t="shared" si="14"/>
        <v>0.53876367711168549</v>
      </c>
      <c r="O90" s="430">
        <f t="shared" si="16"/>
        <v>2861.5</v>
      </c>
      <c r="P90" s="228">
        <f t="shared" si="15"/>
        <v>0.46123632288831456</v>
      </c>
      <c r="Q90" s="112">
        <f>+'P01 2024'!X71</f>
        <v>11574.015000000001</v>
      </c>
      <c r="R90" s="425">
        <f ca="1">SUMIF(T$3:$AG77,"SI",T90:AG90)</f>
        <v>1668.3430739999999</v>
      </c>
      <c r="S90" s="227">
        <f t="shared" ca="1" si="17"/>
        <v>0.14414557731262659</v>
      </c>
      <c r="T90" s="422">
        <f>+'P01 2025'!G71</f>
        <v>70.001000000000005</v>
      </c>
      <c r="U90" s="805">
        <f>+'P01 2024'!K71</f>
        <v>1234.052062</v>
      </c>
      <c r="V90" s="805">
        <f>+'P01 2025'!N46</f>
        <v>3272.4769999999999</v>
      </c>
      <c r="W90" s="422">
        <f>+'P01 2024'!Q48</f>
        <v>434.29101200000002</v>
      </c>
      <c r="X90" s="944">
        <v>0</v>
      </c>
      <c r="Y90" s="112">
        <v>0</v>
      </c>
      <c r="Z90" s="112">
        <f>+'P01 2024'!BI45</f>
        <v>46.118000000000002</v>
      </c>
      <c r="AA90" s="112">
        <v>0</v>
      </c>
      <c r="AB90" s="449">
        <f>+'P01 2024'!CM61</f>
        <v>3530.5990000000002</v>
      </c>
      <c r="AC90" s="241">
        <f>+'P01 2024'!DB60</f>
        <v>-829.07899999999995</v>
      </c>
      <c r="AD90" s="112">
        <f>+'P01 2024'!DR58</f>
        <v>105.98099999999999</v>
      </c>
      <c r="AE90" s="112">
        <v>0</v>
      </c>
      <c r="AF90" s="112">
        <f>+'P01 2024'!ET49</f>
        <v>7874.4740000000002</v>
      </c>
      <c r="AG90" s="1007">
        <f>+'P01 2024'!FL63</f>
        <v>1444.9690000000001</v>
      </c>
      <c r="AH90" s="915"/>
      <c r="AI90" s="915"/>
      <c r="AJ90" s="915"/>
      <c r="AK90" s="915"/>
      <c r="AL90" s="916"/>
      <c r="BB90" s="201"/>
      <c r="BE90" s="577"/>
      <c r="BF90" s="577"/>
      <c r="BG90" s="198"/>
      <c r="BH90" s="580"/>
      <c r="BI90" s="201"/>
      <c r="BK90" s="201"/>
      <c r="BL90" s="201"/>
      <c r="BR90" s="198"/>
      <c r="BS90" s="161"/>
      <c r="BT90" s="202"/>
      <c r="BU90" s="202"/>
    </row>
    <row r="91" spans="1:73" s="439" customFormat="1" ht="15" hidden="1" customHeight="1" x14ac:dyDescent="0.25">
      <c r="A91" s="459"/>
      <c r="B91" s="584" t="s">
        <v>992</v>
      </c>
      <c r="C91" s="692"/>
      <c r="D91" s="603"/>
      <c r="E91" s="435"/>
      <c r="F91" s="435"/>
      <c r="G91" s="434" t="s">
        <v>1025</v>
      </c>
      <c r="H91" s="896" t="s">
        <v>998</v>
      </c>
      <c r="I91" s="807">
        <f>+'P01 2025'!F72</f>
        <v>427.21100000000001</v>
      </c>
      <c r="J91" s="441">
        <f>+'P01 2025'!U74</f>
        <v>427.21100000000001</v>
      </c>
      <c r="K91" s="558">
        <f ca="1">SUMIF(T$3:$AG83,"ok",T91:AG91)</f>
        <v>427.21100000000001</v>
      </c>
      <c r="L91" s="568">
        <f t="shared" ca="1" si="13"/>
        <v>1</v>
      </c>
      <c r="M91" s="438">
        <f>+'P01 2025'!W74</f>
        <v>427.21100000000001</v>
      </c>
      <c r="N91" s="568">
        <f t="shared" si="14"/>
        <v>1</v>
      </c>
      <c r="O91" s="437">
        <f t="shared" si="16"/>
        <v>0</v>
      </c>
      <c r="P91" s="693">
        <f t="shared" si="15"/>
        <v>0</v>
      </c>
      <c r="Q91" s="112">
        <v>0</v>
      </c>
      <c r="R91" s="425">
        <f ca="1">SUMIF(T$3:$AG78,"SI",T91:AG91)</f>
        <v>0</v>
      </c>
      <c r="S91" s="227" t="str">
        <f t="shared" ca="1" si="17"/>
        <v>0,00%</v>
      </c>
      <c r="T91" s="422">
        <f>+'P01 2025'!G72</f>
        <v>427.21100000000001</v>
      </c>
      <c r="U91" s="808">
        <v>0</v>
      </c>
      <c r="V91" s="808">
        <v>0</v>
      </c>
      <c r="W91" s="452"/>
      <c r="X91" s="946"/>
      <c r="Y91" s="345"/>
      <c r="Z91" s="345"/>
      <c r="AA91" s="345"/>
      <c r="AB91" s="453"/>
      <c r="AC91" s="241"/>
      <c r="AD91" s="345"/>
      <c r="AE91" s="345"/>
      <c r="AF91" s="454"/>
      <c r="AG91" s="1002"/>
      <c r="AH91" s="915"/>
      <c r="AI91" s="915"/>
      <c r="AJ91" s="915"/>
      <c r="AK91" s="915"/>
      <c r="AL91" s="916"/>
      <c r="AM91" s="210"/>
      <c r="AN91" s="210"/>
      <c r="AO91" s="210"/>
      <c r="AP91" s="210"/>
      <c r="AQ91" s="210"/>
      <c r="AR91" s="210"/>
      <c r="AS91" s="210"/>
      <c r="AT91" s="210"/>
      <c r="AU91" s="210"/>
      <c r="AV91" s="210"/>
      <c r="AW91" s="210"/>
      <c r="AX91" s="201"/>
      <c r="AY91" s="201"/>
      <c r="AZ91" s="201"/>
      <c r="BA91" s="201"/>
      <c r="BB91" s="201"/>
      <c r="BC91" s="905"/>
      <c r="BD91" s="905"/>
      <c r="BE91" s="577"/>
      <c r="BF91" s="577"/>
      <c r="BG91" s="198"/>
      <c r="BH91" s="580"/>
      <c r="BI91" s="201"/>
      <c r="BJ91" s="258"/>
      <c r="BK91" s="211"/>
      <c r="BL91" s="211"/>
      <c r="BM91" s="258"/>
      <c r="BN91" s="258"/>
      <c r="BO91" s="258"/>
      <c r="BP91" s="258"/>
      <c r="BQ91" s="211"/>
      <c r="BR91" s="213"/>
      <c r="BS91" s="212"/>
      <c r="BT91" s="214"/>
      <c r="BU91" s="214"/>
    </row>
    <row r="92" spans="1:73" ht="15" hidden="1" customHeight="1" x14ac:dyDescent="0.25">
      <c r="B92" s="233" t="s">
        <v>369</v>
      </c>
      <c r="C92" s="964"/>
      <c r="D92" s="304"/>
      <c r="E92" s="419" t="s">
        <v>164</v>
      </c>
      <c r="F92" s="419"/>
      <c r="G92" s="418" t="str">
        <f>+CONCATENATE($C$80,"",$D$89,"",E92)</f>
        <v>22.04.003</v>
      </c>
      <c r="H92" s="896" t="s">
        <v>205</v>
      </c>
      <c r="I92" s="342">
        <v>0</v>
      </c>
      <c r="J92" s="436">
        <v>0</v>
      </c>
      <c r="K92" s="436">
        <f ca="1">SUMIF(T$3:$AG83,"ok",T92:AG92)</f>
        <v>0</v>
      </c>
      <c r="L92" s="566">
        <f t="shared" ca="1" si="13"/>
        <v>0</v>
      </c>
      <c r="M92" s="436">
        <v>0</v>
      </c>
      <c r="N92" s="566">
        <f t="shared" si="14"/>
        <v>0</v>
      </c>
      <c r="O92" s="436">
        <f t="shared" si="16"/>
        <v>0</v>
      </c>
      <c r="P92" s="228">
        <f t="shared" si="15"/>
        <v>0</v>
      </c>
      <c r="Q92" s="112">
        <v>0</v>
      </c>
      <c r="R92" s="425">
        <f ca="1">SUMIF(T$3:$AG78,"SI",T92:AG92)</f>
        <v>0</v>
      </c>
      <c r="S92" s="227" t="str">
        <f t="shared" ca="1" si="17"/>
        <v>0,00%</v>
      </c>
      <c r="T92" s="422">
        <v>0</v>
      </c>
      <c r="U92" s="805">
        <v>0</v>
      </c>
      <c r="V92" s="808">
        <v>0</v>
      </c>
      <c r="W92" s="441">
        <v>0</v>
      </c>
      <c r="X92" s="944">
        <v>0</v>
      </c>
      <c r="Y92" s="112">
        <v>0</v>
      </c>
      <c r="Z92" s="112">
        <f>+'P01 2024'!BI46</f>
        <v>159.04</v>
      </c>
      <c r="AA92" s="112">
        <v>0</v>
      </c>
      <c r="AB92" s="449">
        <v>0</v>
      </c>
      <c r="AC92" s="241">
        <v>0</v>
      </c>
      <c r="AD92" s="112">
        <v>0</v>
      </c>
      <c r="AE92" s="112">
        <v>0</v>
      </c>
      <c r="AF92" s="112">
        <v>0</v>
      </c>
      <c r="AG92" s="1007">
        <v>0</v>
      </c>
      <c r="AH92" s="915"/>
      <c r="AI92" s="915"/>
      <c r="AJ92" s="915"/>
      <c r="AK92" s="915"/>
      <c r="AL92" s="916"/>
      <c r="BB92" s="201"/>
      <c r="BE92" s="577"/>
      <c r="BF92" s="577"/>
      <c r="BG92" s="198"/>
      <c r="BH92" s="580"/>
      <c r="BI92" s="201"/>
      <c r="BK92" s="201"/>
      <c r="BL92" s="201"/>
      <c r="BR92" s="198"/>
      <c r="BS92" s="161"/>
      <c r="BT92" s="202"/>
      <c r="BU92" s="202"/>
    </row>
    <row r="93" spans="1:73" s="439" customFormat="1" ht="15" hidden="1" customHeight="1" x14ac:dyDescent="0.25">
      <c r="A93" s="107"/>
      <c r="B93" s="233" t="s">
        <v>750</v>
      </c>
      <c r="C93" s="964"/>
      <c r="D93" s="304"/>
      <c r="E93" s="419" t="s">
        <v>177</v>
      </c>
      <c r="F93" s="435"/>
      <c r="G93" s="434" t="s">
        <v>751</v>
      </c>
      <c r="H93" s="812" t="s">
        <v>752</v>
      </c>
      <c r="I93" s="807">
        <f>+'P01 2025'!F73</f>
        <v>1013.077</v>
      </c>
      <c r="J93" s="430">
        <f>+'P01 2025'!U75</f>
        <v>1013.077</v>
      </c>
      <c r="K93" s="420">
        <f ca="1">SUMIF(T$3:$AG84,"ok",T93:AG93)</f>
        <v>0</v>
      </c>
      <c r="L93" s="566">
        <f t="shared" ca="1" si="13"/>
        <v>0</v>
      </c>
      <c r="M93" s="430">
        <f>+'P01 2025'!W75</f>
        <v>0</v>
      </c>
      <c r="N93" s="566">
        <f t="shared" si="14"/>
        <v>0</v>
      </c>
      <c r="O93" s="430">
        <f t="shared" si="16"/>
        <v>1013.077</v>
      </c>
      <c r="P93" s="228">
        <f t="shared" si="15"/>
        <v>1</v>
      </c>
      <c r="Q93" s="112">
        <f>+'P01 2024'!X72</f>
        <v>327.35472000000004</v>
      </c>
      <c r="R93" s="425">
        <f ca="1">SUMIF(T$3:$AG80,"SI",T93:AG93)</f>
        <v>327.35472000000004</v>
      </c>
      <c r="S93" s="227">
        <f t="shared" ca="1" si="17"/>
        <v>1</v>
      </c>
      <c r="T93" s="422">
        <f>+'P01 2025'!G73</f>
        <v>0</v>
      </c>
      <c r="U93" s="805">
        <f>+'P01 2024'!K72</f>
        <v>0</v>
      </c>
      <c r="V93" s="808">
        <v>0</v>
      </c>
      <c r="W93" s="438">
        <f>+'P01 2024'!Q49</f>
        <v>327.35472000000004</v>
      </c>
      <c r="X93" s="944">
        <v>0</v>
      </c>
      <c r="Y93" s="345">
        <v>0</v>
      </c>
      <c r="Z93" s="345">
        <v>0</v>
      </c>
      <c r="AA93" s="345">
        <v>0</v>
      </c>
      <c r="AB93" s="345">
        <v>0</v>
      </c>
      <c r="AC93" s="241">
        <v>0</v>
      </c>
      <c r="AD93" s="345">
        <v>0</v>
      </c>
      <c r="AE93" s="345">
        <v>0</v>
      </c>
      <c r="AF93" s="345">
        <v>0</v>
      </c>
      <c r="AG93" s="1007">
        <f>+'P01 2024'!FL64</f>
        <v>655.57100000000003</v>
      </c>
      <c r="AH93" s="915"/>
      <c r="AI93" s="915"/>
      <c r="AJ93" s="915"/>
      <c r="AK93" s="915"/>
      <c r="AL93" s="916"/>
      <c r="AM93" s="210"/>
      <c r="AN93" s="210"/>
      <c r="AO93" s="210"/>
      <c r="AP93" s="210"/>
      <c r="AQ93" s="210"/>
      <c r="AR93" s="210"/>
      <c r="AS93" s="210"/>
      <c r="AT93" s="210"/>
      <c r="AU93" s="210"/>
      <c r="AV93" s="210"/>
      <c r="AW93" s="210"/>
      <c r="AX93" s="201"/>
      <c r="AY93" s="201"/>
      <c r="AZ93" s="201"/>
      <c r="BA93" s="201"/>
      <c r="BB93" s="201"/>
      <c r="BC93" s="905"/>
      <c r="BD93" s="905"/>
      <c r="BE93" s="577"/>
      <c r="BF93" s="577"/>
      <c r="BG93" s="198"/>
      <c r="BH93" s="580"/>
      <c r="BI93" s="201"/>
      <c r="BJ93" s="210"/>
      <c r="BK93" s="201"/>
      <c r="BL93" s="201"/>
      <c r="BM93" s="210"/>
      <c r="BN93" s="210"/>
      <c r="BO93" s="210"/>
      <c r="BP93" s="210"/>
      <c r="BQ93" s="211"/>
      <c r="BR93" s="213"/>
      <c r="BS93" s="212"/>
      <c r="BT93" s="214"/>
      <c r="BU93" s="214"/>
    </row>
    <row r="94" spans="1:73" ht="15" hidden="1" customHeight="1" x14ac:dyDescent="0.25">
      <c r="B94" s="233" t="s">
        <v>553</v>
      </c>
      <c r="C94" s="964"/>
      <c r="D94" s="304"/>
      <c r="E94" s="513" t="s">
        <v>178</v>
      </c>
      <c r="F94" s="435"/>
      <c r="G94" s="434" t="str">
        <f t="shared" ref="G94:G102" si="18">+CONCATENATE($C$80,"",$D$89,"",E94)</f>
        <v>22.04.005</v>
      </c>
      <c r="H94" s="896" t="s">
        <v>325</v>
      </c>
      <c r="I94" s="344">
        <v>0</v>
      </c>
      <c r="J94" s="437">
        <v>0</v>
      </c>
      <c r="K94" s="436">
        <f ca="1">SUMIF(T$3:$AG85,"ok",T94:AG94)</f>
        <v>0</v>
      </c>
      <c r="L94" s="568">
        <f t="shared" ca="1" si="13"/>
        <v>0</v>
      </c>
      <c r="M94" s="437">
        <v>0</v>
      </c>
      <c r="N94" s="568">
        <f t="shared" si="14"/>
        <v>0</v>
      </c>
      <c r="O94" s="437">
        <f t="shared" si="16"/>
        <v>0</v>
      </c>
      <c r="P94" s="228">
        <f t="shared" si="15"/>
        <v>0</v>
      </c>
      <c r="Q94" s="112">
        <f>+'P01 2024'!X73</f>
        <v>714.64528000000007</v>
      </c>
      <c r="R94" s="428">
        <f ca="1">SUMIF(T$3:$AG83,"SI",T94:AG94)</f>
        <v>0</v>
      </c>
      <c r="S94" s="227">
        <f t="shared" ca="1" si="17"/>
        <v>0</v>
      </c>
      <c r="T94" s="422">
        <v>0</v>
      </c>
      <c r="U94" s="805">
        <f>+'P01 2024'!K73</f>
        <v>0</v>
      </c>
      <c r="V94" s="808">
        <v>0</v>
      </c>
      <c r="W94" s="438">
        <v>0</v>
      </c>
      <c r="X94" s="944">
        <v>0</v>
      </c>
      <c r="Y94" s="345">
        <v>0</v>
      </c>
      <c r="Z94" s="112">
        <v>0</v>
      </c>
      <c r="AA94" s="345">
        <v>0</v>
      </c>
      <c r="AB94" s="453">
        <v>0</v>
      </c>
      <c r="AC94" s="241">
        <v>0</v>
      </c>
      <c r="AD94" s="345">
        <v>0</v>
      </c>
      <c r="AE94" s="345">
        <v>0</v>
      </c>
      <c r="AF94" s="112">
        <v>0</v>
      </c>
      <c r="AG94" s="1087">
        <v>0</v>
      </c>
      <c r="AH94" s="915"/>
      <c r="AI94" s="915"/>
      <c r="AJ94" s="915"/>
      <c r="AK94" s="915"/>
      <c r="AL94" s="916"/>
      <c r="BB94" s="201"/>
      <c r="BE94" s="577"/>
      <c r="BF94" s="577"/>
      <c r="BG94" s="198"/>
      <c r="BH94" s="580"/>
      <c r="BI94" s="201"/>
      <c r="BK94" s="201"/>
      <c r="BL94" s="201"/>
      <c r="BR94" s="198"/>
      <c r="BS94" s="161"/>
      <c r="BT94" s="202"/>
      <c r="BU94" s="202"/>
    </row>
    <row r="95" spans="1:73" ht="15" hidden="1" customHeight="1" x14ac:dyDescent="0.25">
      <c r="B95" s="233" t="s">
        <v>370</v>
      </c>
      <c r="C95" s="964"/>
      <c r="D95" s="304"/>
      <c r="E95" s="419" t="s">
        <v>168</v>
      </c>
      <c r="F95" s="419"/>
      <c r="G95" s="434" t="str">
        <f t="shared" si="18"/>
        <v>22.04.007</v>
      </c>
      <c r="H95" s="812" t="s">
        <v>105</v>
      </c>
      <c r="I95" s="807">
        <f>+'P01 2025'!F74</f>
        <v>5015.9799999999996</v>
      </c>
      <c r="J95" s="430">
        <f>+'P01 2025'!U76</f>
        <v>4790.88</v>
      </c>
      <c r="K95" s="420">
        <f ca="1">SUMIF(T$3:$AG86,"ok",T95:AG95)</f>
        <v>15.98</v>
      </c>
      <c r="L95" s="566">
        <f t="shared" ca="1" si="13"/>
        <v>3.3355041245032228E-3</v>
      </c>
      <c r="M95" s="430">
        <f>+'P01 2025'!W76</f>
        <v>15.98</v>
      </c>
      <c r="N95" s="566">
        <f t="shared" si="14"/>
        <v>3.3355041245032228E-3</v>
      </c>
      <c r="O95" s="430">
        <f t="shared" si="16"/>
        <v>4774.9000000000005</v>
      </c>
      <c r="P95" s="228">
        <f t="shared" si="15"/>
        <v>0.99666449587549688</v>
      </c>
      <c r="Q95" s="112">
        <f>+'P01 2024'!X74</f>
        <v>15630</v>
      </c>
      <c r="R95" s="425">
        <f ca="1">SUMIF(T$3:$AG84,"SI",T95:AG95)</f>
        <v>0</v>
      </c>
      <c r="S95" s="227">
        <f t="shared" ca="1" si="17"/>
        <v>0</v>
      </c>
      <c r="T95" s="422">
        <f>+'P01 2025'!G74</f>
        <v>15.98</v>
      </c>
      <c r="U95" s="805">
        <f>+'P01 2024'!K74</f>
        <v>0</v>
      </c>
      <c r="V95" s="808">
        <v>0</v>
      </c>
      <c r="W95" s="438">
        <v>0</v>
      </c>
      <c r="X95" s="944">
        <f>+'P01 2024'!AE58</f>
        <v>3199.8510000000001</v>
      </c>
      <c r="Y95" s="112">
        <v>0</v>
      </c>
      <c r="Z95" s="112">
        <v>0</v>
      </c>
      <c r="AA95" s="345">
        <v>0</v>
      </c>
      <c r="AB95" s="453">
        <f>+'P01 2024'!CM62</f>
        <v>3218.6759999999999</v>
      </c>
      <c r="AC95" s="241">
        <f>+'P01 2024'!DB61</f>
        <v>8726.9249999999993</v>
      </c>
      <c r="AD95" s="345">
        <v>0</v>
      </c>
      <c r="AE95" s="112">
        <f>'P01 2024'!EG52</f>
        <v>8.1</v>
      </c>
      <c r="AF95" s="112">
        <v>0</v>
      </c>
      <c r="AG95" s="1086">
        <f>+'P01 2024'!FL65</f>
        <v>12967.454</v>
      </c>
      <c r="AH95" s="915"/>
      <c r="AI95" s="915"/>
      <c r="AJ95" s="915"/>
      <c r="AK95" s="915"/>
      <c r="AL95" s="916"/>
      <c r="BB95" s="201"/>
      <c r="BE95" s="577"/>
      <c r="BF95" s="577"/>
      <c r="BG95" s="198"/>
      <c r="BH95" s="580"/>
      <c r="BI95" s="201"/>
      <c r="BK95" s="201"/>
      <c r="BL95" s="201"/>
      <c r="BR95" s="198"/>
      <c r="BS95" s="161"/>
      <c r="BT95" s="202"/>
      <c r="BU95" s="202"/>
    </row>
    <row r="96" spans="1:73" ht="15" hidden="1" customHeight="1" x14ac:dyDescent="0.25">
      <c r="B96" s="233" t="s">
        <v>554</v>
      </c>
      <c r="C96" s="964"/>
      <c r="D96" s="304"/>
      <c r="E96" s="419" t="s">
        <v>169</v>
      </c>
      <c r="F96" s="419"/>
      <c r="G96" s="418" t="str">
        <f t="shared" si="18"/>
        <v>22.04.008</v>
      </c>
      <c r="H96" s="896" t="s">
        <v>106</v>
      </c>
      <c r="I96" s="342">
        <v>0</v>
      </c>
      <c r="J96" s="436">
        <v>0</v>
      </c>
      <c r="K96" s="436">
        <f ca="1">SUMIF(T$3:$AG87,"ok",T96:AG96)</f>
        <v>0</v>
      </c>
      <c r="L96" s="566">
        <f t="shared" ca="1" si="13"/>
        <v>0</v>
      </c>
      <c r="M96" s="436">
        <v>0</v>
      </c>
      <c r="N96" s="566">
        <f t="shared" si="14"/>
        <v>0</v>
      </c>
      <c r="O96" s="436">
        <f t="shared" si="16"/>
        <v>0</v>
      </c>
      <c r="P96" s="228">
        <f t="shared" si="15"/>
        <v>0</v>
      </c>
      <c r="Q96" s="112">
        <v>0</v>
      </c>
      <c r="R96" s="425">
        <f ca="1">SUMIF(T$3:$AG85,"SI",T96:AG96)</f>
        <v>0</v>
      </c>
      <c r="S96" s="227" t="str">
        <f t="shared" ca="1" si="17"/>
        <v>0,00%</v>
      </c>
      <c r="T96" s="422">
        <v>0</v>
      </c>
      <c r="U96" s="805">
        <v>0</v>
      </c>
      <c r="V96" s="808">
        <v>0</v>
      </c>
      <c r="W96" s="441">
        <v>0</v>
      </c>
      <c r="X96" s="944">
        <v>0</v>
      </c>
      <c r="Y96" s="112">
        <v>0</v>
      </c>
      <c r="Z96" s="112">
        <v>0</v>
      </c>
      <c r="AA96" s="112">
        <v>0</v>
      </c>
      <c r="AB96" s="449">
        <v>0</v>
      </c>
      <c r="AC96" s="115">
        <v>0</v>
      </c>
      <c r="AD96" s="112">
        <v>0</v>
      </c>
      <c r="AE96" s="112">
        <v>0</v>
      </c>
      <c r="AF96" s="112">
        <f>+'P01 2024'!ET50</f>
        <v>384.98200000000003</v>
      </c>
      <c r="AG96" s="1087">
        <v>0</v>
      </c>
      <c r="AH96" s="915"/>
      <c r="AI96" s="915"/>
      <c r="AJ96" s="915"/>
      <c r="AK96" s="915"/>
      <c r="AL96" s="916"/>
      <c r="BB96" s="201"/>
      <c r="BE96" s="577"/>
      <c r="BF96" s="577"/>
      <c r="BG96" s="198"/>
      <c r="BH96" s="580"/>
      <c r="BI96" s="201"/>
      <c r="BK96" s="201"/>
      <c r="BL96" s="201"/>
      <c r="BR96" s="198"/>
      <c r="BS96" s="161"/>
      <c r="BT96" s="202"/>
      <c r="BU96" s="202"/>
    </row>
    <row r="97" spans="1:73" ht="15" hidden="1" customHeight="1" x14ac:dyDescent="0.25">
      <c r="B97" s="233" t="s">
        <v>555</v>
      </c>
      <c r="C97" s="964"/>
      <c r="D97" s="304"/>
      <c r="E97" s="419" t="s">
        <v>170</v>
      </c>
      <c r="F97" s="419"/>
      <c r="G97" s="434" t="str">
        <f t="shared" si="18"/>
        <v>22.04.009</v>
      </c>
      <c r="H97" s="812" t="s">
        <v>48</v>
      </c>
      <c r="I97" s="807">
        <f>+'P01 2025'!F75</f>
        <v>9200</v>
      </c>
      <c r="J97" s="430">
        <f>+'P01 2025'!U77</f>
        <v>9200</v>
      </c>
      <c r="K97" s="420">
        <f ca="1">SUMIF(T$3:$AG88,"ok",T97:AG97)</f>
        <v>5331.2</v>
      </c>
      <c r="L97" s="566">
        <f t="shared" ca="1" si="13"/>
        <v>0.57947826086956522</v>
      </c>
      <c r="M97" s="430">
        <f>+'P01 2025'!W77</f>
        <v>7391.5659999999998</v>
      </c>
      <c r="N97" s="566">
        <f t="shared" si="14"/>
        <v>0.80343108695652177</v>
      </c>
      <c r="O97" s="430">
        <f t="shared" si="16"/>
        <v>1808.4340000000002</v>
      </c>
      <c r="P97" s="228">
        <f t="shared" si="15"/>
        <v>0.19656891304347829</v>
      </c>
      <c r="Q97" s="112">
        <f>+'P01 2024'!X75</f>
        <v>10498.15</v>
      </c>
      <c r="R97" s="425">
        <f ca="1">SUMIF(T$3:$AG86,"SI",T97:AG97)</f>
        <v>82.023114000000007</v>
      </c>
      <c r="S97" s="227">
        <f t="shared" ca="1" si="17"/>
        <v>7.8131017369727062E-3</v>
      </c>
      <c r="T97" s="422">
        <f>+'P01 2025'!G75</f>
        <v>0</v>
      </c>
      <c r="U97" s="805">
        <f>+'P01 2024'!K75</f>
        <v>0</v>
      </c>
      <c r="V97" s="805">
        <f>+'P01 2025'!N47</f>
        <v>5331.2</v>
      </c>
      <c r="W97" s="441">
        <f>+'P01 2024'!Q50</f>
        <v>82.023114000000007</v>
      </c>
      <c r="X97" s="944">
        <f>+'P01 2024'!AE59</f>
        <v>1077.413</v>
      </c>
      <c r="Y97" s="112">
        <f>+'P01 2024'!AT51</f>
        <v>133.28</v>
      </c>
      <c r="Z97" s="112">
        <f>+'P01 2024'!BI47</f>
        <v>1361.36</v>
      </c>
      <c r="AA97" s="112">
        <f>+'P01 2024'!BX63</f>
        <v>746.59400000000005</v>
      </c>
      <c r="AB97" s="453">
        <f>+'P01 2024'!CM63</f>
        <v>1324.47</v>
      </c>
      <c r="AC97" s="241">
        <f>+'P01 2024'!DB62</f>
        <v>656.38400000000001</v>
      </c>
      <c r="AD97" s="112">
        <f>+'P01 2024'!DR59</f>
        <v>1590.3430000000001</v>
      </c>
      <c r="AE97" s="112">
        <f>'P01 2024'!EG53</f>
        <v>432.85700000000003</v>
      </c>
      <c r="AF97" s="112">
        <f>+'P01 2024'!ET51</f>
        <v>473.76299999999998</v>
      </c>
      <c r="AG97" s="1086">
        <f>+'P01 2024'!FL66</f>
        <v>296.072</v>
      </c>
      <c r="AH97" s="915"/>
      <c r="AI97" s="915"/>
      <c r="AJ97" s="915"/>
      <c r="AK97" s="915"/>
      <c r="AL97" s="916"/>
      <c r="BB97" s="201"/>
      <c r="BE97" s="577"/>
      <c r="BF97" s="577"/>
      <c r="BG97" s="198"/>
      <c r="BH97" s="580"/>
      <c r="BI97" s="201"/>
      <c r="BK97" s="201"/>
      <c r="BL97" s="201"/>
      <c r="BR97" s="198"/>
      <c r="BS97" s="161"/>
      <c r="BT97" s="202"/>
      <c r="BU97" s="202"/>
    </row>
    <row r="98" spans="1:73" ht="15" hidden="1" customHeight="1" x14ac:dyDescent="0.25">
      <c r="B98" s="233" t="s">
        <v>556</v>
      </c>
      <c r="C98" s="964"/>
      <c r="D98" s="304"/>
      <c r="E98" s="419" t="s">
        <v>171</v>
      </c>
      <c r="F98" s="419"/>
      <c r="G98" s="418" t="str">
        <f t="shared" si="18"/>
        <v>22.04.010</v>
      </c>
      <c r="H98" s="812" t="s">
        <v>49</v>
      </c>
      <c r="I98" s="807">
        <f>+'P01 2025'!F76</f>
        <v>2083.8960000000002</v>
      </c>
      <c r="J98" s="430">
        <f>+'P01 2025'!U78</f>
        <v>2083.8960000000002</v>
      </c>
      <c r="K98" s="420">
        <f ca="1">SUMIF(T$3:$AG89,"ok",T98:AG98)</f>
        <v>1386.933</v>
      </c>
      <c r="L98" s="566">
        <f t="shared" ca="1" si="13"/>
        <v>0.6655480887721843</v>
      </c>
      <c r="M98" s="430">
        <f>+'P01 2025'!W78</f>
        <v>1843.992</v>
      </c>
      <c r="N98" s="566">
        <f t="shared" si="14"/>
        <v>0.88487717237328534</v>
      </c>
      <c r="O98" s="430">
        <f t="shared" si="16"/>
        <v>239.90400000000022</v>
      </c>
      <c r="P98" s="228">
        <f t="shared" si="15"/>
        <v>0.11512282762671468</v>
      </c>
      <c r="Q98" s="112">
        <f>+'P01 2024'!X76</f>
        <v>1563</v>
      </c>
      <c r="R98" s="425">
        <f ca="1">SUMIF(T$3:$AG87,"SI",T98:AG98)</f>
        <v>0</v>
      </c>
      <c r="S98" s="227">
        <f t="shared" ca="1" si="17"/>
        <v>0</v>
      </c>
      <c r="T98" s="422">
        <f>+'P01 2025'!G76</f>
        <v>0</v>
      </c>
      <c r="U98" s="805">
        <f>+'P01 2024'!K76</f>
        <v>0</v>
      </c>
      <c r="V98" s="805">
        <f>+'P01 2025'!N48</f>
        <v>1386.933</v>
      </c>
      <c r="W98" s="441">
        <v>0</v>
      </c>
      <c r="X98" s="944">
        <v>0</v>
      </c>
      <c r="Y98" s="112">
        <v>0</v>
      </c>
      <c r="Z98" s="112">
        <v>0</v>
      </c>
      <c r="AA98" s="112">
        <v>0</v>
      </c>
      <c r="AB98" s="449">
        <v>0</v>
      </c>
      <c r="AC98" s="241">
        <f>+'P01 2024'!DB63</f>
        <v>692.58</v>
      </c>
      <c r="AD98" s="112">
        <v>0</v>
      </c>
      <c r="AE98" s="112">
        <v>0</v>
      </c>
      <c r="AF98" s="112">
        <f>+'P01 2024'!ET52</f>
        <v>1474.481</v>
      </c>
      <c r="AG98" s="1086">
        <f>+'P01 2024'!FL67</f>
        <v>2663.3969999999999</v>
      </c>
      <c r="AH98" s="915"/>
      <c r="AI98" s="915"/>
      <c r="AJ98" s="915"/>
      <c r="AK98" s="915"/>
      <c r="AL98" s="916"/>
      <c r="BB98" s="201"/>
      <c r="BE98" s="577"/>
      <c r="BF98" s="577"/>
      <c r="BG98" s="198"/>
      <c r="BH98" s="580"/>
      <c r="BI98" s="201"/>
      <c r="BK98" s="201"/>
      <c r="BL98" s="201"/>
      <c r="BR98" s="198"/>
      <c r="BS98" s="161"/>
      <c r="BT98" s="202"/>
      <c r="BU98" s="202"/>
    </row>
    <row r="99" spans="1:73" ht="15" hidden="1" customHeight="1" x14ac:dyDescent="0.25">
      <c r="B99" s="233" t="s">
        <v>557</v>
      </c>
      <c r="C99" s="964"/>
      <c r="D99" s="304"/>
      <c r="E99" s="419" t="s">
        <v>172</v>
      </c>
      <c r="F99" s="419"/>
      <c r="G99" s="418" t="str">
        <f t="shared" si="18"/>
        <v>22.04.011</v>
      </c>
      <c r="H99" s="812" t="s">
        <v>50</v>
      </c>
      <c r="I99" s="807">
        <f>+'P01 2025'!F77</f>
        <v>1000</v>
      </c>
      <c r="J99" s="430">
        <f>+'P01 2025'!U79</f>
        <v>1140.9839999999999</v>
      </c>
      <c r="K99" s="420">
        <f ca="1">SUMIF(T$3:$AG90,"ok",T99:AG99)</f>
        <v>750.75</v>
      </c>
      <c r="L99" s="566">
        <f t="shared" ca="1" si="13"/>
        <v>0.65798468690183209</v>
      </c>
      <c r="M99" s="430">
        <f>+'P01 2025'!W79</f>
        <v>750.75</v>
      </c>
      <c r="N99" s="566">
        <f t="shared" si="14"/>
        <v>0.65798468690183209</v>
      </c>
      <c r="O99" s="430">
        <f t="shared" si="16"/>
        <v>390.23399999999992</v>
      </c>
      <c r="P99" s="228">
        <f t="shared" si="15"/>
        <v>0.34201531309816785</v>
      </c>
      <c r="Q99" s="112">
        <f>+'P01 2024'!X77</f>
        <v>5210</v>
      </c>
      <c r="R99" s="425">
        <f ca="1">SUMIF(T$3:$AG88,"SI",T99:AG99)</f>
        <v>0</v>
      </c>
      <c r="S99" s="227">
        <f t="shared" ca="1" si="17"/>
        <v>0</v>
      </c>
      <c r="T99" s="422">
        <f>+'P01 2025'!G77</f>
        <v>0</v>
      </c>
      <c r="U99" s="805">
        <f>+'P01 2024'!K77</f>
        <v>0</v>
      </c>
      <c r="V99" s="805">
        <f>+'P01 2025'!N49</f>
        <v>750.75</v>
      </c>
      <c r="W99" s="441">
        <v>0</v>
      </c>
      <c r="X99" s="944">
        <v>0</v>
      </c>
      <c r="Y99" s="112">
        <v>0</v>
      </c>
      <c r="Z99" s="112">
        <f>+'P01 2024'!BI48</f>
        <v>1024.32</v>
      </c>
      <c r="AA99" s="112">
        <v>0</v>
      </c>
      <c r="AB99" s="449">
        <v>0</v>
      </c>
      <c r="AC99" s="241">
        <f>+'P01 2024'!DB64</f>
        <v>90.081999999999994</v>
      </c>
      <c r="AD99" s="112">
        <v>0</v>
      </c>
      <c r="AE99" s="112">
        <f>'P01 2024'!EG54</f>
        <v>373.43700000000001</v>
      </c>
      <c r="AF99" s="112">
        <f>+'P01 2024'!ET53</f>
        <v>763.56399999999996</v>
      </c>
      <c r="AG99" s="1086">
        <f>+'P01 2024'!FL68</f>
        <v>497.40800000000002</v>
      </c>
      <c r="AH99" s="915"/>
      <c r="AI99" s="915"/>
      <c r="AJ99" s="915"/>
      <c r="AK99" s="915"/>
      <c r="AL99" s="916"/>
      <c r="BB99" s="201"/>
      <c r="BE99" s="577"/>
      <c r="BF99" s="577"/>
      <c r="BG99" s="198"/>
      <c r="BH99" s="580"/>
      <c r="BI99" s="201"/>
      <c r="BK99" s="201"/>
      <c r="BL99" s="201"/>
      <c r="BR99" s="198"/>
      <c r="BS99" s="161"/>
      <c r="BT99" s="202"/>
      <c r="BU99" s="202"/>
    </row>
    <row r="100" spans="1:73" ht="15" hidden="1" customHeight="1" x14ac:dyDescent="0.25">
      <c r="B100" s="233" t="s">
        <v>558</v>
      </c>
      <c r="C100" s="964"/>
      <c r="D100" s="304"/>
      <c r="E100" s="419" t="s">
        <v>173</v>
      </c>
      <c r="F100" s="419"/>
      <c r="G100" s="418" t="str">
        <f t="shared" si="18"/>
        <v>22.04.012</v>
      </c>
      <c r="H100" s="812" t="s">
        <v>107</v>
      </c>
      <c r="I100" s="807">
        <f>+'P01 2025'!F78</f>
        <v>2293.54</v>
      </c>
      <c r="J100" s="430">
        <f>+'P01 2025'!U80</f>
        <v>2293.54</v>
      </c>
      <c r="K100" s="420">
        <f ca="1">SUMIF(T$3:$AG92,"ok",T100:AG100)</f>
        <v>0</v>
      </c>
      <c r="L100" s="566">
        <f t="shared" ca="1" si="13"/>
        <v>0</v>
      </c>
      <c r="M100" s="430">
        <f>+'P01 2025'!W80</f>
        <v>0</v>
      </c>
      <c r="N100" s="566">
        <f t="shared" si="14"/>
        <v>0</v>
      </c>
      <c r="O100" s="430">
        <f t="shared" si="16"/>
        <v>2293.54</v>
      </c>
      <c r="P100" s="228">
        <f t="shared" si="15"/>
        <v>1</v>
      </c>
      <c r="Q100" s="112">
        <f>+'P01 2024'!X78</f>
        <v>72.94</v>
      </c>
      <c r="R100" s="428">
        <f ca="1">SUMIF(T$3:$AG89,"SI",T100:AG100)</f>
        <v>72.94</v>
      </c>
      <c r="S100" s="227">
        <f t="shared" ca="1" si="17"/>
        <v>1</v>
      </c>
      <c r="T100" s="422">
        <f>+'P01 2025'!G78</f>
        <v>0</v>
      </c>
      <c r="U100" s="805">
        <f>+'P01 2024'!K78</f>
        <v>72.94</v>
      </c>
      <c r="V100" s="805">
        <v>0</v>
      </c>
      <c r="W100" s="441">
        <v>0</v>
      </c>
      <c r="X100" s="944">
        <v>0</v>
      </c>
      <c r="Y100" s="112">
        <v>0</v>
      </c>
      <c r="Z100" s="112">
        <f>+'P01 2024'!BI49</f>
        <v>268.58300000000003</v>
      </c>
      <c r="AA100" s="112">
        <v>0</v>
      </c>
      <c r="AB100" s="449">
        <f>+'P01 2024'!CM64</f>
        <v>284.41399999999999</v>
      </c>
      <c r="AC100" s="241">
        <v>0</v>
      </c>
      <c r="AD100" s="112">
        <v>0</v>
      </c>
      <c r="AE100" s="112">
        <f>'P01 2024'!EG55</f>
        <v>690.2</v>
      </c>
      <c r="AF100" s="112">
        <f>+'P01 2024'!ET54</f>
        <v>1082.9000000000001</v>
      </c>
      <c r="AG100" s="1086">
        <f>+'P01 2024'!FL69</f>
        <v>70</v>
      </c>
      <c r="AH100" s="915"/>
      <c r="AI100" s="915"/>
      <c r="AJ100" s="915"/>
      <c r="AK100" s="915"/>
      <c r="AL100" s="916"/>
      <c r="BB100" s="201"/>
      <c r="BE100" s="577"/>
      <c r="BF100" s="577"/>
      <c r="BG100" s="198"/>
      <c r="BH100" s="580"/>
      <c r="BI100" s="201"/>
      <c r="BK100" s="201"/>
      <c r="BL100" s="201"/>
      <c r="BR100" s="198"/>
      <c r="BS100" s="161"/>
      <c r="BT100" s="202"/>
      <c r="BU100" s="202"/>
    </row>
    <row r="101" spans="1:73" ht="15" hidden="1" customHeight="1" x14ac:dyDescent="0.25">
      <c r="B101" s="233" t="s">
        <v>371</v>
      </c>
      <c r="C101" s="964"/>
      <c r="D101" s="304"/>
      <c r="E101" s="419" t="s">
        <v>174</v>
      </c>
      <c r="F101" s="419"/>
      <c r="G101" s="418" t="str">
        <f t="shared" si="18"/>
        <v>22.04.013</v>
      </c>
      <c r="H101" s="812" t="s">
        <v>108</v>
      </c>
      <c r="I101" s="807">
        <f>+'P01 2025'!F79</f>
        <v>4000</v>
      </c>
      <c r="J101" s="430">
        <f>+'P01 2025'!U81</f>
        <v>4000</v>
      </c>
      <c r="K101" s="420">
        <f ca="1">SUMIF(T$3:$AG93,"ok",T101:AG101)</f>
        <v>151.62200000000001</v>
      </c>
      <c r="L101" s="566">
        <f t="shared" ca="1" si="13"/>
        <v>3.7905500000000002E-2</v>
      </c>
      <c r="M101" s="430">
        <f>+'P01 2025'!W81</f>
        <v>1572.268</v>
      </c>
      <c r="N101" s="566">
        <f t="shared" si="14"/>
        <v>0.393067</v>
      </c>
      <c r="O101" s="430">
        <f t="shared" si="16"/>
        <v>2427.732</v>
      </c>
      <c r="P101" s="228">
        <f t="shared" si="15"/>
        <v>0.60693299999999994</v>
      </c>
      <c r="Q101" s="112">
        <f>+'P01 2024'!X79</f>
        <v>9971.0782660000004</v>
      </c>
      <c r="R101" s="428">
        <f ca="1">SUMIF(T$3:$AG90,"SI",T101:AG101)</f>
        <v>3560.459816</v>
      </c>
      <c r="S101" s="227">
        <f t="shared" ca="1" si="17"/>
        <v>0.35707871516169681</v>
      </c>
      <c r="T101" s="422">
        <f>+'P01 2025'!G79</f>
        <v>0</v>
      </c>
      <c r="U101" s="805">
        <f>+'P01 2024'!K79</f>
        <v>0</v>
      </c>
      <c r="V101" s="805">
        <f>+'P01 2025'!N50</f>
        <v>151.62200000000001</v>
      </c>
      <c r="W101" s="115">
        <f>+'P01 2024'!Q51</f>
        <v>3560.459816</v>
      </c>
      <c r="X101" s="944">
        <f>+'P01 2024'!AE60</f>
        <v>2778.645</v>
      </c>
      <c r="Y101" s="112">
        <f>+'P01 2024'!AT52</f>
        <v>2644.0610000000001</v>
      </c>
      <c r="Z101" s="112">
        <v>0</v>
      </c>
      <c r="AA101" s="112">
        <f>+'P01 2024'!BX64</f>
        <v>3491.99</v>
      </c>
      <c r="AB101" s="449">
        <v>0</v>
      </c>
      <c r="AC101" s="241">
        <f>+'P01 2024'!DB65</f>
        <v>1099.9970000000001</v>
      </c>
      <c r="AD101" s="112">
        <f>+'P01 2024'!DR60</f>
        <v>138.971</v>
      </c>
      <c r="AE101" s="112">
        <f>'P01 2024'!EG56</f>
        <v>745.17899999999997</v>
      </c>
      <c r="AF101" s="112">
        <f>+'P01 2024'!ET55</f>
        <v>2572.5630000000001</v>
      </c>
      <c r="AG101" s="1086">
        <f>+'P01 2024'!FL70</f>
        <v>213.393</v>
      </c>
      <c r="AH101" s="915"/>
      <c r="AI101" s="915"/>
      <c r="AJ101" s="915"/>
      <c r="AK101" s="915"/>
      <c r="AL101" s="916"/>
      <c r="BB101" s="201"/>
      <c r="BE101" s="577"/>
      <c r="BF101" s="577"/>
      <c r="BG101" s="198"/>
      <c r="BH101" s="580"/>
      <c r="BI101" s="201"/>
      <c r="BK101" s="201"/>
      <c r="BL101" s="201"/>
      <c r="BR101" s="198"/>
      <c r="BS101" s="161"/>
      <c r="BT101" s="202"/>
      <c r="BU101" s="202"/>
    </row>
    <row r="102" spans="1:73" ht="15" hidden="1" customHeight="1" x14ac:dyDescent="0.25">
      <c r="B102" s="233" t="s">
        <v>372</v>
      </c>
      <c r="C102" s="964"/>
      <c r="D102" s="304"/>
      <c r="E102" s="419" t="s">
        <v>175</v>
      </c>
      <c r="F102" s="419"/>
      <c r="G102" s="418" t="str">
        <f t="shared" si="18"/>
        <v>22.04.999</v>
      </c>
      <c r="H102" s="896" t="s">
        <v>109</v>
      </c>
      <c r="I102" s="344">
        <f>+'P01 2025'!F80</f>
        <v>408.8</v>
      </c>
      <c r="J102" s="437">
        <f>+'P01 2025'!U82</f>
        <v>474.25</v>
      </c>
      <c r="K102" s="436">
        <f ca="1">SUMIF(T$3:$AG94,"ok",T102:AG102)</f>
        <v>474.25</v>
      </c>
      <c r="L102" s="572">
        <f t="shared" ca="1" si="13"/>
        <v>1</v>
      </c>
      <c r="M102" s="437">
        <f>+'P01 2025'!W82</f>
        <v>474.25</v>
      </c>
      <c r="N102" s="572">
        <f t="shared" si="14"/>
        <v>1</v>
      </c>
      <c r="O102" s="460">
        <f t="shared" si="16"/>
        <v>0</v>
      </c>
      <c r="P102" s="228">
        <f t="shared" si="15"/>
        <v>0</v>
      </c>
      <c r="Q102" s="112">
        <f>+'P01 2024'!X80</f>
        <v>929.98500000000001</v>
      </c>
      <c r="R102" s="425">
        <f ca="1">SUMIF(T$3:$AG92,"SI",T102:AG102)</f>
        <v>0</v>
      </c>
      <c r="S102" s="227">
        <f t="shared" ca="1" si="17"/>
        <v>0</v>
      </c>
      <c r="T102" s="422">
        <f>+'P01 2025'!G80</f>
        <v>408.8</v>
      </c>
      <c r="U102" s="805">
        <v>0</v>
      </c>
      <c r="V102" s="805">
        <f>+'P01 2025'!N51</f>
        <v>65.45</v>
      </c>
      <c r="W102" s="115">
        <v>0</v>
      </c>
      <c r="X102" s="944">
        <f>+'P01 2024'!AE61</f>
        <v>892.5</v>
      </c>
      <c r="Y102" s="112">
        <v>0</v>
      </c>
      <c r="Z102" s="112">
        <v>0</v>
      </c>
      <c r="AA102" s="112">
        <v>0</v>
      </c>
      <c r="AB102" s="449">
        <v>0</v>
      </c>
      <c r="AC102" s="241">
        <f>+'P01 2024'!DB66</f>
        <v>67.36</v>
      </c>
      <c r="AD102" s="112">
        <v>0</v>
      </c>
      <c r="AE102" s="112">
        <f>'P01 2024'!EG57</f>
        <v>166.6</v>
      </c>
      <c r="AF102" s="112">
        <v>0</v>
      </c>
      <c r="AG102" s="1086">
        <f>+'P01 2024'!FL71</f>
        <v>2753.9769999999999</v>
      </c>
      <c r="AH102" s="915"/>
      <c r="AI102" s="915"/>
      <c r="AJ102" s="915"/>
      <c r="AK102" s="915"/>
      <c r="AL102" s="916"/>
      <c r="BB102" s="201"/>
      <c r="BE102" s="577"/>
      <c r="BF102" s="577"/>
      <c r="BG102" s="198"/>
      <c r="BH102" s="580"/>
      <c r="BI102" s="201"/>
      <c r="BK102" s="201"/>
      <c r="BL102" s="201"/>
      <c r="BR102" s="198"/>
      <c r="BS102" s="161"/>
      <c r="BT102" s="202"/>
      <c r="BU102" s="202"/>
    </row>
    <row r="103" spans="1:73" s="417" customFormat="1" ht="15" hidden="1" customHeight="1" x14ac:dyDescent="0.25">
      <c r="A103" s="107"/>
      <c r="B103" s="233" t="s">
        <v>373</v>
      </c>
      <c r="C103" s="961"/>
      <c r="D103" s="238" t="s">
        <v>176</v>
      </c>
      <c r="E103" s="424"/>
      <c r="F103" s="424"/>
      <c r="G103" s="424"/>
      <c r="H103" s="898" t="s">
        <v>52</v>
      </c>
      <c r="I103" s="574">
        <f>+'P01 2025'!F81</f>
        <v>109888.41800000001</v>
      </c>
      <c r="J103" s="432">
        <f>+'P01 2025'!U83</f>
        <v>169842.53899999999</v>
      </c>
      <c r="K103" s="415">
        <f ca="1">SUMIF(T$3:$AG95,"ok",T103:AG103)</f>
        <v>37741.697999999997</v>
      </c>
      <c r="L103" s="562">
        <f t="shared" ca="1" si="13"/>
        <v>0.22221581367198001</v>
      </c>
      <c r="M103" s="432">
        <f>+'P01 2025'!W83</f>
        <v>151745.48699999999</v>
      </c>
      <c r="N103" s="562">
        <f t="shared" si="14"/>
        <v>0.89344806014705191</v>
      </c>
      <c r="O103" s="415">
        <f t="shared" si="16"/>
        <v>18097.051999999996</v>
      </c>
      <c r="P103" s="691">
        <f t="shared" si="15"/>
        <v>0.10655193985294813</v>
      </c>
      <c r="Q103" s="442">
        <f>+'P01 2024'!X81</f>
        <v>175394.65</v>
      </c>
      <c r="R103" s="208">
        <f ca="1">SUM(R104:R111)</f>
        <v>19701.352415999998</v>
      </c>
      <c r="S103" s="562">
        <f t="shared" ca="1" si="17"/>
        <v>0.11232584583395216</v>
      </c>
      <c r="T103" s="806">
        <f>+'P01 2025'!G81</f>
        <v>3292.1190000000001</v>
      </c>
      <c r="U103" s="804">
        <f>+'P01 2024'!K80</f>
        <v>9639.450304</v>
      </c>
      <c r="V103" s="804">
        <f>+'P01 2025'!N52</f>
        <v>34449.578999999998</v>
      </c>
      <c r="W103" s="208">
        <f>+'P01 2024'!Q52</f>
        <v>10061.902112</v>
      </c>
      <c r="X103" s="943">
        <f>+'P01 2024'!AE62</f>
        <v>14913.204</v>
      </c>
      <c r="Y103" s="208">
        <f>+'P01 2024'!AT53</f>
        <v>6181.0110000000004</v>
      </c>
      <c r="Z103" s="208">
        <f>+'P01 2024'!BI50</f>
        <v>6674.3130000000001</v>
      </c>
      <c r="AA103" s="208">
        <f>+'P01 2024'!BX65</f>
        <v>7280.9210000000003</v>
      </c>
      <c r="AB103" s="208">
        <f>+'P01 2024'!CM65</f>
        <v>5341.16</v>
      </c>
      <c r="AC103" s="109">
        <f>+'P01 2024'!DB67</f>
        <v>5636.3559999999998</v>
      </c>
      <c r="AD103" s="208">
        <f>+'P01 2024'!DR61</f>
        <v>20145.664000000001</v>
      </c>
      <c r="AE103" s="208">
        <f>SUM(AE104:AE111)</f>
        <v>16481.707000000002</v>
      </c>
      <c r="AF103" s="208">
        <f>+'P01 2024'!ET56</f>
        <v>18901.177</v>
      </c>
      <c r="AG103" s="1006">
        <f>+'P01 2024'!FL72</f>
        <v>16521.403999999999</v>
      </c>
      <c r="AH103" s="915"/>
      <c r="AI103" s="915"/>
      <c r="AJ103" s="915"/>
      <c r="AK103" s="915"/>
      <c r="AL103" s="916"/>
      <c r="AM103" s="210"/>
      <c r="AN103" s="210"/>
      <c r="AO103" s="210"/>
      <c r="AP103" s="210"/>
      <c r="AQ103" s="210"/>
      <c r="AR103" s="210"/>
      <c r="AS103" s="210"/>
      <c r="AT103" s="210"/>
      <c r="AU103" s="210"/>
      <c r="AV103" s="210"/>
      <c r="AW103" s="210"/>
      <c r="AX103" s="201"/>
      <c r="AY103" s="201"/>
      <c r="AZ103" s="201"/>
      <c r="BA103" s="201"/>
      <c r="BB103" s="201"/>
      <c r="BC103" s="905"/>
      <c r="BD103" s="905"/>
      <c r="BE103" s="577"/>
      <c r="BF103" s="577"/>
      <c r="BG103" s="198"/>
      <c r="BH103" s="580"/>
      <c r="BI103" s="201"/>
      <c r="BJ103" s="210"/>
      <c r="BK103" s="201"/>
      <c r="BL103" s="201"/>
      <c r="BM103" s="210"/>
      <c r="BN103" s="210"/>
      <c r="BO103" s="210"/>
      <c r="BP103" s="210"/>
      <c r="BQ103" s="201"/>
      <c r="BR103" s="198"/>
      <c r="BS103" s="161"/>
      <c r="BT103" s="202"/>
      <c r="BU103" s="202"/>
    </row>
    <row r="104" spans="1:73" ht="15" hidden="1" customHeight="1" x14ac:dyDescent="0.25">
      <c r="B104" s="233" t="s">
        <v>374</v>
      </c>
      <c r="C104" s="964"/>
      <c r="D104" s="304"/>
      <c r="E104" s="419" t="s">
        <v>167</v>
      </c>
      <c r="F104" s="419"/>
      <c r="G104" s="418" t="str">
        <f t="shared" ref="G104:G111" si="19">+CONCATENATE($C$80,"",$D$103,"",E104)</f>
        <v>22.05.001</v>
      </c>
      <c r="H104" s="812" t="s">
        <v>53</v>
      </c>
      <c r="I104" s="807">
        <f>+'P01 2025'!F82</f>
        <v>19300</v>
      </c>
      <c r="J104" s="430">
        <f>+'P01 2025'!U84</f>
        <v>19300</v>
      </c>
      <c r="K104" s="420">
        <f ca="1">SUMIF(T$3:$AG96,"ok",T104:AG104)</f>
        <v>2338.6930000000002</v>
      </c>
      <c r="L104" s="564">
        <f t="shared" ca="1" si="13"/>
        <v>0.12117580310880829</v>
      </c>
      <c r="M104" s="430">
        <f>+'P01 2025'!W84</f>
        <v>19300</v>
      </c>
      <c r="N104" s="564">
        <f t="shared" si="14"/>
        <v>1</v>
      </c>
      <c r="O104" s="421">
        <f t="shared" si="16"/>
        <v>0</v>
      </c>
      <c r="P104" s="228">
        <f t="shared" si="15"/>
        <v>0</v>
      </c>
      <c r="Q104" s="112">
        <f>+'P01 2024'!X82</f>
        <v>12931.220000000001</v>
      </c>
      <c r="R104" s="425">
        <f ca="1">SUMIF(T$3:$AG95,"SI",T104:AG104)</f>
        <v>2322.964986</v>
      </c>
      <c r="S104" s="227">
        <f t="shared" ca="1" si="17"/>
        <v>0.17964004834810635</v>
      </c>
      <c r="T104" s="422">
        <f>+'P01 2025'!G82</f>
        <v>1158.8889999999999</v>
      </c>
      <c r="U104" s="805">
        <f>+'P01 2024'!K81</f>
        <v>522.66720000000009</v>
      </c>
      <c r="V104" s="805">
        <f>+'P01 2025'!N53</f>
        <v>1179.8040000000001</v>
      </c>
      <c r="W104" s="422">
        <f>+'P01 2024'!Q53</f>
        <v>1800.2977860000001</v>
      </c>
      <c r="X104" s="944">
        <f>+'P01 2024'!AE63</f>
        <v>670.70600000000002</v>
      </c>
      <c r="Y104" s="112">
        <f>+'P01 2024'!AT54</f>
        <v>844.41700000000003</v>
      </c>
      <c r="Z104" s="112">
        <f>+'P01 2024'!BI51</f>
        <v>911</v>
      </c>
      <c r="AA104" s="112">
        <f>+'P01 2024'!BX66</f>
        <v>750.33500000000004</v>
      </c>
      <c r="AB104" s="449">
        <f>+'P01 2024'!CM66</f>
        <v>1064.3119999999999</v>
      </c>
      <c r="AC104" s="241">
        <f>+'P01 2024'!DB68</f>
        <v>2084.6</v>
      </c>
      <c r="AD104" s="112">
        <f>+'P01 2024'!DR62</f>
        <v>1409.528</v>
      </c>
      <c r="AE104" s="112">
        <f>'P01 2024'!EG59</f>
        <v>1942.1</v>
      </c>
      <c r="AF104" s="112">
        <f>+'P01 2024'!ET57</f>
        <v>1737.4469999999999</v>
      </c>
      <c r="AG104" s="1086">
        <f>+'P01 2024'!FL73</f>
        <v>1297.624</v>
      </c>
      <c r="AH104" s="915"/>
      <c r="AI104" s="915"/>
      <c r="AJ104" s="915"/>
      <c r="AK104" s="915"/>
      <c r="AL104" s="916"/>
      <c r="BB104" s="201"/>
      <c r="BE104" s="577"/>
      <c r="BF104" s="577"/>
      <c r="BG104" s="198"/>
      <c r="BH104" s="580"/>
      <c r="BI104" s="201"/>
      <c r="BK104" s="201"/>
      <c r="BL104" s="201"/>
      <c r="BR104" s="198"/>
      <c r="BS104" s="161"/>
      <c r="BT104" s="202"/>
      <c r="BU104" s="202"/>
    </row>
    <row r="105" spans="1:73" ht="15" hidden="1" customHeight="1" x14ac:dyDescent="0.25">
      <c r="B105" s="233" t="s">
        <v>375</v>
      </c>
      <c r="C105" s="964"/>
      <c r="D105" s="304"/>
      <c r="E105" s="419" t="s">
        <v>163</v>
      </c>
      <c r="F105" s="419"/>
      <c r="G105" s="418" t="str">
        <f t="shared" si="19"/>
        <v>22.05.002</v>
      </c>
      <c r="H105" s="812" t="s">
        <v>54</v>
      </c>
      <c r="I105" s="807">
        <f>+'P01 2025'!F83</f>
        <v>16650</v>
      </c>
      <c r="J105" s="430">
        <f>+'P01 2025'!U85</f>
        <v>15459.405000000001</v>
      </c>
      <c r="K105" s="420">
        <f ca="1">SUMIF(T$3:$AG97,"ok",T105:AG105)</f>
        <v>2868.0749999999998</v>
      </c>
      <c r="L105" s="564">
        <f t="shared" ca="1" si="13"/>
        <v>0.18552298746297155</v>
      </c>
      <c r="M105" s="430">
        <f>+'P01 2025'!W85</f>
        <v>15335.353999999999</v>
      </c>
      <c r="N105" s="564">
        <f t="shared" si="14"/>
        <v>0.99197569376052952</v>
      </c>
      <c r="O105" s="421">
        <f t="shared" si="16"/>
        <v>124.0510000000013</v>
      </c>
      <c r="P105" s="228">
        <f t="shared" si="15"/>
        <v>8.0243062394704905E-3</v>
      </c>
      <c r="Q105" s="112">
        <f>+'P01 2024'!X83</f>
        <v>17417.03</v>
      </c>
      <c r="R105" s="425">
        <f ca="1">SUMIF(T$3:$AG96,"SI",T105:AG105)</f>
        <v>1358.1678080000002</v>
      </c>
      <c r="S105" s="227">
        <f t="shared" ca="1" si="17"/>
        <v>7.7979300029913268E-2</v>
      </c>
      <c r="T105" s="422">
        <f>+'P01 2025'!G83</f>
        <v>658.86300000000006</v>
      </c>
      <c r="U105" s="805">
        <f>+'P01 2024'!K82</f>
        <v>154.59112000000002</v>
      </c>
      <c r="V105" s="805">
        <f>+'P01 2025'!N54</f>
        <v>2209.212</v>
      </c>
      <c r="W105" s="422">
        <f>+'P01 2024'!Q54</f>
        <v>1203.5766880000001</v>
      </c>
      <c r="X105" s="944">
        <f>+'P01 2024'!AE64</f>
        <v>1084.808</v>
      </c>
      <c r="Y105" s="112">
        <f>+'P01 2024'!AT55</f>
        <v>1023.013</v>
      </c>
      <c r="Z105" s="112">
        <f>+'P01 2024'!BI52</f>
        <v>1250.5119999999999</v>
      </c>
      <c r="AA105" s="112">
        <f>+'P01 2024'!BX67</f>
        <v>1186.8399999999999</v>
      </c>
      <c r="AB105" s="449">
        <f>+'P01 2024'!CM67</f>
        <v>1069.2380000000001</v>
      </c>
      <c r="AC105" s="241">
        <f>+'P01 2024'!DB69</f>
        <v>1228.4929999999999</v>
      </c>
      <c r="AD105" s="112">
        <f>+'P01 2024'!DR63</f>
        <v>873.33100000000002</v>
      </c>
      <c r="AE105" s="112">
        <f>'P01 2024'!EG60</f>
        <v>1179.2349999999999</v>
      </c>
      <c r="AF105" s="112">
        <f>+'P01 2024'!ET58</f>
        <v>1253.7470000000001</v>
      </c>
      <c r="AG105" s="1086">
        <f>+'P01 2024'!FL74</f>
        <v>2056.6039999999998</v>
      </c>
      <c r="AH105" s="915"/>
      <c r="AI105" s="915"/>
      <c r="AJ105" s="915"/>
      <c r="AK105" s="915"/>
      <c r="AL105" s="916"/>
      <c r="BB105" s="201"/>
      <c r="BE105" s="577"/>
      <c r="BF105" s="577"/>
      <c r="BG105" s="198"/>
      <c r="BH105" s="580"/>
      <c r="BI105" s="201"/>
      <c r="BK105" s="201"/>
      <c r="BL105" s="201"/>
      <c r="BR105" s="198"/>
      <c r="BS105" s="161"/>
      <c r="BT105" s="202"/>
      <c r="BU105" s="202"/>
    </row>
    <row r="106" spans="1:73" ht="15" hidden="1" customHeight="1" x14ac:dyDescent="0.25">
      <c r="B106" s="233" t="s">
        <v>376</v>
      </c>
      <c r="C106" s="964"/>
      <c r="D106" s="304"/>
      <c r="E106" s="419" t="s">
        <v>164</v>
      </c>
      <c r="F106" s="419"/>
      <c r="G106" s="418" t="str">
        <f t="shared" si="19"/>
        <v>22.05.003</v>
      </c>
      <c r="H106" s="812" t="s">
        <v>55</v>
      </c>
      <c r="I106" s="807">
        <f>+'P01 2025'!F84</f>
        <v>2500</v>
      </c>
      <c r="J106" s="430">
        <f>+'P01 2025'!U86</f>
        <v>2500</v>
      </c>
      <c r="K106" s="420">
        <f ca="1">SUMIF(T$3:$AG98,"ok",T106:AG106)</f>
        <v>80.95</v>
      </c>
      <c r="L106" s="564">
        <f t="shared" ca="1" si="13"/>
        <v>3.2379999999999999E-2</v>
      </c>
      <c r="M106" s="430">
        <f>+'P01 2025'!W86</f>
        <v>1800</v>
      </c>
      <c r="N106" s="564">
        <f t="shared" si="14"/>
        <v>0.72</v>
      </c>
      <c r="O106" s="421">
        <f t="shared" si="16"/>
        <v>700</v>
      </c>
      <c r="P106" s="228">
        <f t="shared" si="15"/>
        <v>0.28000000000000003</v>
      </c>
      <c r="Q106" s="112">
        <f>+'P01 2024'!X84</f>
        <v>2396.6</v>
      </c>
      <c r="R106" s="425">
        <f ca="1">SUMIF(T$3:$AG97,"SI",T106:AG106)</f>
        <v>77.941599999999994</v>
      </c>
      <c r="S106" s="227">
        <f t="shared" ca="1" si="17"/>
        <v>3.2521739130434782E-2</v>
      </c>
      <c r="T106" s="422">
        <f>+'P01 2025'!G84</f>
        <v>80.95</v>
      </c>
      <c r="U106" s="805">
        <f>+'P01 2024'!K83</f>
        <v>0</v>
      </c>
      <c r="V106" s="805">
        <v>0</v>
      </c>
      <c r="W106" s="422">
        <f>+'P01 2024'!Q55</f>
        <v>77.941599999999994</v>
      </c>
      <c r="X106" s="944">
        <f>+'P01 2024'!AE65</f>
        <v>68.349999999999994</v>
      </c>
      <c r="Y106" s="112">
        <f>+'P01 2024'!AT56</f>
        <v>95.1</v>
      </c>
      <c r="Z106" s="112">
        <v>0</v>
      </c>
      <c r="AA106" s="112">
        <f>+'P01 2024'!BX68</f>
        <v>275.5</v>
      </c>
      <c r="AB106" s="449">
        <f>+'P01 2024'!CM68</f>
        <v>294.49</v>
      </c>
      <c r="AC106" s="241">
        <f>+'P01 2024'!DB70</f>
        <v>775.05399999999997</v>
      </c>
      <c r="AD106" s="112">
        <v>0</v>
      </c>
      <c r="AE106" s="112">
        <f>'P01 2024'!EG61</f>
        <v>304.60000000000002</v>
      </c>
      <c r="AF106" s="112">
        <f>+'P01 2024'!ET59</f>
        <v>225.453</v>
      </c>
      <c r="AG106" s="1086">
        <f>+'P01 2024'!FL75</f>
        <v>174.2</v>
      </c>
      <c r="AH106" s="915"/>
      <c r="AI106" s="915"/>
      <c r="AJ106" s="915"/>
      <c r="AK106" s="915"/>
      <c r="AL106" s="916"/>
      <c r="BB106" s="201"/>
      <c r="BE106" s="577"/>
      <c r="BF106" s="577"/>
      <c r="BG106" s="198"/>
      <c r="BH106" s="580"/>
      <c r="BI106" s="201"/>
      <c r="BK106" s="201"/>
      <c r="BL106" s="201"/>
      <c r="BR106" s="198"/>
      <c r="BS106" s="161"/>
      <c r="BT106" s="202"/>
      <c r="BU106" s="202"/>
    </row>
    <row r="107" spans="1:73" ht="15" hidden="1" customHeight="1" x14ac:dyDescent="0.25">
      <c r="B107" s="233" t="s">
        <v>377</v>
      </c>
      <c r="C107" s="964"/>
      <c r="D107" s="304"/>
      <c r="E107" s="419" t="s">
        <v>177</v>
      </c>
      <c r="F107" s="419"/>
      <c r="G107" s="418" t="str">
        <f t="shared" si="19"/>
        <v>22.05.004</v>
      </c>
      <c r="H107" s="812" t="s">
        <v>56</v>
      </c>
      <c r="I107" s="807">
        <f>+'P01 2025'!F85</f>
        <v>16572</v>
      </c>
      <c r="J107" s="430">
        <f>+'P01 2025'!U87</f>
        <v>18000</v>
      </c>
      <c r="K107" s="420">
        <f ca="1">SUMIF(T$3:$AG99,"ok",T107:AG107)</f>
        <v>1.49</v>
      </c>
      <c r="L107" s="564">
        <f t="shared" ca="1" si="13"/>
        <v>8.2777777777777781E-5</v>
      </c>
      <c r="M107" s="430">
        <f>+'P01 2025'!W87</f>
        <v>9000</v>
      </c>
      <c r="N107" s="564">
        <f t="shared" si="14"/>
        <v>0.5</v>
      </c>
      <c r="O107" s="421">
        <f t="shared" si="16"/>
        <v>9000</v>
      </c>
      <c r="P107" s="228">
        <f t="shared" si="15"/>
        <v>0.5</v>
      </c>
      <c r="Q107" s="112">
        <f>+'P01 2024'!X85</f>
        <v>19006.080000000002</v>
      </c>
      <c r="R107" s="425">
        <f ca="1">SUMIF(T$3:$AG98,"SI",T107:AG107)</f>
        <v>791.16559199999995</v>
      </c>
      <c r="S107" s="227">
        <f t="shared" ca="1" si="17"/>
        <v>4.1626973684210519E-2</v>
      </c>
      <c r="T107" s="422">
        <f>+'P01 2025'!G85</f>
        <v>0</v>
      </c>
      <c r="U107" s="805">
        <f>+'P01 2024'!K84</f>
        <v>0</v>
      </c>
      <c r="V107" s="805">
        <f>+'P01 2025'!N55</f>
        <v>1.49</v>
      </c>
      <c r="W107" s="422">
        <f>+'P01 2024'!Q56</f>
        <v>791.16559199999995</v>
      </c>
      <c r="X107" s="944">
        <f>+'P01 2024'!AE66</f>
        <v>878.26499999999999</v>
      </c>
      <c r="Y107" s="112">
        <f>+'P01 2024'!AT57</f>
        <v>608.35799999999995</v>
      </c>
      <c r="Z107" s="112">
        <f>+'P01 2024'!BI53</f>
        <v>902.678</v>
      </c>
      <c r="AA107" s="112">
        <f>+'P01 2024'!BX69</f>
        <v>1458.123</v>
      </c>
      <c r="AB107" s="449">
        <f>+'P01 2024'!CM69</f>
        <v>775.18299999999999</v>
      </c>
      <c r="AC107" s="241">
        <f>+'P01 2024'!DB71</f>
        <v>1073.8920000000001</v>
      </c>
      <c r="AD107" s="112">
        <f>+'P01 2024'!DR64</f>
        <v>826.85299999999995</v>
      </c>
      <c r="AE107" s="112">
        <f>'P01 2024'!EG62</f>
        <v>687.44899999999996</v>
      </c>
      <c r="AF107" s="112">
        <f>+'P01 2024'!ET60</f>
        <v>3940.2629999999999</v>
      </c>
      <c r="AG107" s="1086">
        <f>+'P01 2024'!FL76</f>
        <v>1985.9739999999999</v>
      </c>
      <c r="AH107" s="915"/>
      <c r="AI107" s="915"/>
      <c r="AJ107" s="915"/>
      <c r="AK107" s="915"/>
      <c r="AL107" s="916"/>
      <c r="BB107" s="201"/>
      <c r="BE107" s="577"/>
      <c r="BF107" s="577"/>
      <c r="BG107" s="198"/>
      <c r="BH107" s="580"/>
      <c r="BI107" s="201"/>
      <c r="BK107" s="201"/>
      <c r="BL107" s="201"/>
      <c r="BR107" s="198"/>
      <c r="BS107" s="161"/>
      <c r="BT107" s="202"/>
      <c r="BU107" s="202"/>
    </row>
    <row r="108" spans="1:73" ht="15" hidden="1" customHeight="1" x14ac:dyDescent="0.25">
      <c r="B108" s="233" t="s">
        <v>378</v>
      </c>
      <c r="C108" s="964"/>
      <c r="D108" s="304"/>
      <c r="E108" s="419" t="s">
        <v>178</v>
      </c>
      <c r="F108" s="419"/>
      <c r="G108" s="418" t="str">
        <f t="shared" si="19"/>
        <v>22.05.005</v>
      </c>
      <c r="H108" s="812" t="s">
        <v>57</v>
      </c>
      <c r="I108" s="807">
        <f>+'P01 2025'!F86</f>
        <v>400</v>
      </c>
      <c r="J108" s="430">
        <f>+'P01 2025'!U88</f>
        <v>60116.716</v>
      </c>
      <c r="K108" s="420">
        <f ca="1">SUMIF(T$3:$AG100,"ok",T108:AG108)</f>
        <v>27325.74</v>
      </c>
      <c r="L108" s="564">
        <f t="shared" ca="1" si="13"/>
        <v>0.45454478917311453</v>
      </c>
      <c r="M108" s="430">
        <f>+'P01 2025'!W88</f>
        <v>60116.716</v>
      </c>
      <c r="N108" s="564">
        <f t="shared" si="14"/>
        <v>1</v>
      </c>
      <c r="O108" s="421">
        <f t="shared" si="16"/>
        <v>0</v>
      </c>
      <c r="P108" s="228">
        <f t="shared" si="15"/>
        <v>0</v>
      </c>
      <c r="Q108" s="112">
        <f>+'P01 2024'!X86</f>
        <v>68772</v>
      </c>
      <c r="R108" s="425">
        <f ca="1">SUMIF(T$3:$AG99,"SI",T108:AG108)</f>
        <v>11389.364264</v>
      </c>
      <c r="S108" s="227">
        <f t="shared" ca="1" si="17"/>
        <v>0.16561048484848484</v>
      </c>
      <c r="T108" s="422">
        <f>+'P01 2025'!G86</f>
        <v>0</v>
      </c>
      <c r="U108" s="805">
        <f>+'P01 2024'!K85</f>
        <v>5694.6821319999999</v>
      </c>
      <c r="V108" s="805">
        <f>+'P01 2025'!N56</f>
        <v>27325.74</v>
      </c>
      <c r="W108" s="422">
        <f>+'P01 2024'!Q57</f>
        <v>5694.6821319999999</v>
      </c>
      <c r="X108" s="944">
        <f>+'P01 2024'!AE67</f>
        <v>5465.1459999999997</v>
      </c>
      <c r="Y108" s="112">
        <v>0</v>
      </c>
      <c r="Z108" s="112">
        <v>0</v>
      </c>
      <c r="AA108" s="112">
        <v>0</v>
      </c>
      <c r="AB108" s="449">
        <v>0</v>
      </c>
      <c r="AC108" s="241">
        <v>0</v>
      </c>
      <c r="AD108" s="112">
        <f>+'P01 2024'!DR65</f>
        <v>5465.1559999999999</v>
      </c>
      <c r="AE108" s="112">
        <f>'P01 2024'!EG63</f>
        <v>5465.1559999999999</v>
      </c>
      <c r="AF108" s="112">
        <f>+'P01 2024'!ET61</f>
        <v>10930.291999999999</v>
      </c>
      <c r="AG108" s="1086">
        <f>+'P01 2024'!FL77</f>
        <v>5465.1559999999999</v>
      </c>
      <c r="AH108" s="915"/>
      <c r="AI108" s="915"/>
      <c r="AJ108" s="915"/>
      <c r="AK108" s="915"/>
      <c r="AL108" s="916"/>
      <c r="BB108" s="201"/>
      <c r="BE108" s="577"/>
      <c r="BF108" s="577"/>
      <c r="BG108" s="198"/>
      <c r="BH108" s="580"/>
      <c r="BI108" s="201"/>
      <c r="BK108" s="201"/>
      <c r="BL108" s="201"/>
      <c r="BR108" s="198"/>
      <c r="BS108" s="161"/>
      <c r="BT108" s="202"/>
      <c r="BU108" s="202"/>
    </row>
    <row r="109" spans="1:73" ht="15" hidden="1" customHeight="1" x14ac:dyDescent="0.25">
      <c r="B109" s="233" t="s">
        <v>379</v>
      </c>
      <c r="C109" s="964"/>
      <c r="D109" s="304"/>
      <c r="E109" s="419" t="s">
        <v>179</v>
      </c>
      <c r="F109" s="419"/>
      <c r="G109" s="418" t="str">
        <f t="shared" si="19"/>
        <v>22.05.006</v>
      </c>
      <c r="H109" s="812" t="s">
        <v>58</v>
      </c>
      <c r="I109" s="807">
        <f>+'P01 2025'!F87</f>
        <v>1500</v>
      </c>
      <c r="J109" s="430">
        <f>+'P01 2025'!U89</f>
        <v>1500</v>
      </c>
      <c r="K109" s="420">
        <f ca="1">SUMIF(T$3:$AG101,"ok",T109:AG109)</f>
        <v>0</v>
      </c>
      <c r="L109" s="564">
        <f t="shared" ref="L109:L141" ca="1" si="20">IFERROR(K109/J109,0)</f>
        <v>0</v>
      </c>
      <c r="M109" s="430">
        <f>+'P01 2025'!W89</f>
        <v>0</v>
      </c>
      <c r="N109" s="564">
        <f t="shared" ref="N109:N141" si="21">+IFERROR(M109/J109,0%)</f>
        <v>0</v>
      </c>
      <c r="O109" s="421">
        <f t="shared" si="16"/>
        <v>1500</v>
      </c>
      <c r="P109" s="228">
        <f t="shared" si="15"/>
        <v>1</v>
      </c>
      <c r="Q109" s="112">
        <f>+'P01 2024'!X87</f>
        <v>8857</v>
      </c>
      <c r="R109" s="425">
        <f ca="1">SUMIF(T$3:$AG100,"SI",T109:AG109)</f>
        <v>0</v>
      </c>
      <c r="S109" s="227">
        <f t="shared" ca="1" si="17"/>
        <v>0</v>
      </c>
      <c r="T109" s="422">
        <f>+'P01 2025'!G87</f>
        <v>0</v>
      </c>
      <c r="U109" s="805">
        <f>+'P01 2024'!K86</f>
        <v>0</v>
      </c>
      <c r="V109" s="805">
        <v>0</v>
      </c>
      <c r="W109" s="422">
        <v>0</v>
      </c>
      <c r="X109" s="944">
        <v>0</v>
      </c>
      <c r="Y109" s="112">
        <v>0</v>
      </c>
      <c r="Z109" s="112">
        <v>0</v>
      </c>
      <c r="AA109" s="112">
        <v>0</v>
      </c>
      <c r="AB109" s="449">
        <v>0</v>
      </c>
      <c r="AC109" s="241">
        <v>0</v>
      </c>
      <c r="AD109" s="112">
        <f>+'P01 2024'!DR66</f>
        <v>629.96100000000001</v>
      </c>
      <c r="AE109" s="112">
        <f>'P01 2024'!EG64</f>
        <v>3293.0439999999999</v>
      </c>
      <c r="AF109" s="112">
        <v>0</v>
      </c>
      <c r="AG109" s="1086">
        <v>0</v>
      </c>
      <c r="AH109" s="915"/>
      <c r="AI109" s="915"/>
      <c r="AJ109" s="915"/>
      <c r="AK109" s="915"/>
      <c r="AL109" s="916"/>
      <c r="BB109" s="201"/>
      <c r="BE109" s="577"/>
      <c r="BF109" s="577"/>
      <c r="BG109" s="198"/>
      <c r="BH109" s="580"/>
      <c r="BI109" s="201"/>
      <c r="BK109" s="201"/>
      <c r="BL109" s="201"/>
      <c r="BR109" s="198"/>
      <c r="BS109" s="161"/>
      <c r="BT109" s="202"/>
      <c r="BU109" s="202"/>
    </row>
    <row r="110" spans="1:73" ht="15" hidden="1" customHeight="1" x14ac:dyDescent="0.25">
      <c r="B110" s="233" t="s">
        <v>380</v>
      </c>
      <c r="C110" s="964"/>
      <c r="D110" s="304"/>
      <c r="E110" s="419" t="s">
        <v>168</v>
      </c>
      <c r="F110" s="419"/>
      <c r="G110" s="418" t="str">
        <f t="shared" si="19"/>
        <v>22.05.007</v>
      </c>
      <c r="H110" s="812" t="s">
        <v>59</v>
      </c>
      <c r="I110" s="807">
        <f>+'P01 2025'!F88</f>
        <v>6773</v>
      </c>
      <c r="J110" s="430">
        <f>+'P01 2025'!U90</f>
        <v>6773</v>
      </c>
      <c r="K110" s="420">
        <f ca="1">SUMIF(T$3:$AG102,"ok",T110:AG110)</f>
        <v>0</v>
      </c>
      <c r="L110" s="564">
        <f t="shared" ca="1" si="20"/>
        <v>0</v>
      </c>
      <c r="M110" s="430">
        <f>+'P01 2025'!W90</f>
        <v>0</v>
      </c>
      <c r="N110" s="564">
        <f t="shared" si="21"/>
        <v>0</v>
      </c>
      <c r="O110" s="421">
        <f t="shared" ref="O110:O142" si="22">J110-M110</f>
        <v>6773</v>
      </c>
      <c r="P110" s="228">
        <f t="shared" si="15"/>
        <v>1</v>
      </c>
      <c r="Q110" s="112">
        <f>+'P01 2024'!X88</f>
        <v>6001.92</v>
      </c>
      <c r="R110" s="425">
        <f ca="1">SUMIF(T$3:$AG101,"SI",T110:AG110)</f>
        <v>494.238314</v>
      </c>
      <c r="S110" s="227">
        <f t="shared" ca="1" si="17"/>
        <v>8.2346701388888888E-2</v>
      </c>
      <c r="T110" s="422">
        <f>+'P01 2025'!G88</f>
        <v>0</v>
      </c>
      <c r="U110" s="805">
        <f>+'P01 2024'!K87</f>
        <v>0</v>
      </c>
      <c r="V110" s="805">
        <v>0</v>
      </c>
      <c r="W110" s="422">
        <f>+'P01 2024'!Q58</f>
        <v>494.238314</v>
      </c>
      <c r="X110" s="944">
        <f>+'P01 2024'!AE68</f>
        <v>474.31700000000001</v>
      </c>
      <c r="Y110" s="112">
        <f>+'P01 2024'!AT58</f>
        <v>474.31700000000001</v>
      </c>
      <c r="Z110" s="112">
        <f>+'P01 2024'!BI54</f>
        <v>474.31700000000001</v>
      </c>
      <c r="AA110" s="112">
        <f>+'P01 2024'!BX70</f>
        <v>474.31700000000001</v>
      </c>
      <c r="AB110" s="449">
        <f>+'P01 2024'!CM70</f>
        <v>474.31700000000001</v>
      </c>
      <c r="AC110" s="241">
        <f>+'P01 2024'!DB72</f>
        <v>474.31700000000001</v>
      </c>
      <c r="AD110" s="112">
        <f>+'P01 2024'!DR67</f>
        <v>474.31700000000001</v>
      </c>
      <c r="AE110" s="112">
        <f>'P01 2024'!EG65</f>
        <v>474.31700000000001</v>
      </c>
      <c r="AF110" s="112">
        <v>0</v>
      </c>
      <c r="AG110" s="1086">
        <v>0</v>
      </c>
      <c r="AH110" s="915"/>
      <c r="AI110" s="915"/>
      <c r="AJ110" s="915"/>
      <c r="AK110" s="915"/>
      <c r="AL110" s="916"/>
      <c r="BB110" s="201"/>
      <c r="BE110" s="577"/>
      <c r="BF110" s="577"/>
      <c r="BG110" s="198"/>
      <c r="BH110" s="580"/>
      <c r="BI110" s="201"/>
      <c r="BK110" s="201"/>
      <c r="BL110" s="201"/>
      <c r="BR110" s="198"/>
      <c r="BS110" s="161"/>
      <c r="BT110" s="202"/>
      <c r="BU110" s="202"/>
    </row>
    <row r="111" spans="1:73" ht="15" hidden="1" customHeight="1" x14ac:dyDescent="0.25">
      <c r="B111" s="233" t="s">
        <v>559</v>
      </c>
      <c r="C111" s="964"/>
      <c r="D111" s="304"/>
      <c r="E111" s="419" t="s">
        <v>169</v>
      </c>
      <c r="F111" s="419"/>
      <c r="G111" s="418" t="str">
        <f t="shared" si="19"/>
        <v>22.05.008</v>
      </c>
      <c r="H111" s="812" t="s">
        <v>60</v>
      </c>
      <c r="I111" s="807">
        <f>+'P01 2025'!F89</f>
        <v>46193.417999999998</v>
      </c>
      <c r="J111" s="430">
        <f>+'P01 2025'!U91</f>
        <v>46193.417999999998</v>
      </c>
      <c r="K111" s="420">
        <f ca="1">SUMIF(T$3:$AG103,"ok",T111:AG111)</f>
        <v>5126.75</v>
      </c>
      <c r="L111" s="564">
        <f t="shared" ca="1" si="20"/>
        <v>0.11098442639598569</v>
      </c>
      <c r="M111" s="430">
        <f>+'P01 2025'!W91</f>
        <v>46193.417000000001</v>
      </c>
      <c r="N111" s="564">
        <f t="shared" si="21"/>
        <v>0.99999997835189425</v>
      </c>
      <c r="O111" s="421">
        <f t="shared" si="22"/>
        <v>9.9999999656574801E-4</v>
      </c>
      <c r="P111" s="228">
        <f t="shared" si="15"/>
        <v>2.1648105722892123E-8</v>
      </c>
      <c r="Q111" s="112">
        <f>+'P01 2024'!X89</f>
        <v>40012.800000000003</v>
      </c>
      <c r="R111" s="425">
        <f ca="1">SUMIF(T$3:$AG102,"SI",T111:AG111)</f>
        <v>3267.5098520000001</v>
      </c>
      <c r="S111" s="227">
        <f t="shared" ca="1" si="17"/>
        <v>8.1661614583333333E-2</v>
      </c>
      <c r="T111" s="422">
        <f>+'P01 2025'!G89</f>
        <v>1393.4169999999999</v>
      </c>
      <c r="U111" s="805">
        <f>+'P01 2024'!K88</f>
        <v>3267.5098520000001</v>
      </c>
      <c r="V111" s="805">
        <f>+'P01 2025'!N57</f>
        <v>3733.3330000000001</v>
      </c>
      <c r="W111" s="115">
        <v>0</v>
      </c>
      <c r="X111" s="944">
        <f>+'P01 2024'!AE69</f>
        <v>6271.6120000000001</v>
      </c>
      <c r="Y111" s="112">
        <f>+'P01 2024'!AT59</f>
        <v>3135.806</v>
      </c>
      <c r="Z111" s="112">
        <f>+'P01 2024'!BI55</f>
        <v>3135.806</v>
      </c>
      <c r="AA111" s="112">
        <f>+'P01 2024'!BX71</f>
        <v>3135.806</v>
      </c>
      <c r="AB111" s="449">
        <f>+'P01 2024'!CM71</f>
        <v>1663.62</v>
      </c>
      <c r="AC111" s="241">
        <v>0</v>
      </c>
      <c r="AD111" s="112">
        <f>+'P01 2024'!DR68</f>
        <v>10466.518</v>
      </c>
      <c r="AE111" s="112">
        <f>'P01 2024'!EG66</f>
        <v>3135.806</v>
      </c>
      <c r="AF111" s="112">
        <f>+'P01 2024'!ET62</f>
        <v>813.97500000000002</v>
      </c>
      <c r="AG111" s="1086">
        <f>+'P01 2024'!FL78</f>
        <v>5541.8459999999995</v>
      </c>
      <c r="AH111" s="915"/>
      <c r="AI111" s="915"/>
      <c r="AJ111" s="915"/>
      <c r="AK111" s="915"/>
      <c r="AL111" s="916"/>
      <c r="BB111" s="201"/>
      <c r="BE111" s="577"/>
      <c r="BF111" s="577"/>
      <c r="BG111" s="198"/>
      <c r="BH111" s="580"/>
      <c r="BI111" s="201"/>
      <c r="BK111" s="201"/>
      <c r="BL111" s="201"/>
      <c r="BR111" s="198"/>
      <c r="BS111" s="161"/>
      <c r="BT111" s="202"/>
      <c r="BU111" s="202"/>
    </row>
    <row r="112" spans="1:73" s="417" customFormat="1" ht="15" hidden="1" customHeight="1" x14ac:dyDescent="0.25">
      <c r="A112" s="107"/>
      <c r="B112" s="233" t="s">
        <v>381</v>
      </c>
      <c r="C112" s="961"/>
      <c r="D112" s="238" t="s">
        <v>180</v>
      </c>
      <c r="E112" s="424"/>
      <c r="F112" s="424"/>
      <c r="G112" s="424"/>
      <c r="H112" s="980" t="s">
        <v>110</v>
      </c>
      <c r="I112" s="574">
        <f>+'P01 2025'!F90</f>
        <v>37504.447</v>
      </c>
      <c r="J112" s="432">
        <f>+'P01 2025'!U92</f>
        <v>43432.057000000001</v>
      </c>
      <c r="K112" s="432">
        <f ca="1">SUMIF(T$3:$AG104,"ok",T112:AG112)</f>
        <v>4896.0169999999998</v>
      </c>
      <c r="L112" s="567">
        <f t="shared" ca="1" si="20"/>
        <v>0.11272818600325561</v>
      </c>
      <c r="M112" s="432">
        <f>+'P01 2025'!W92</f>
        <v>26474.828000000001</v>
      </c>
      <c r="N112" s="567">
        <f t="shared" si="21"/>
        <v>0.60956882608622476</v>
      </c>
      <c r="O112" s="432">
        <f t="shared" si="22"/>
        <v>16957.228999999999</v>
      </c>
      <c r="P112" s="691">
        <f t="shared" si="15"/>
        <v>0.39043117391377524</v>
      </c>
      <c r="Q112" s="442">
        <f>+'P01 2024'!X90</f>
        <v>51820.810687999998</v>
      </c>
      <c r="R112" s="442">
        <f ca="1">SUMIF(T$3:$AG104,"SI",T112:AG112)</f>
        <v>1318.2154439999999</v>
      </c>
      <c r="S112" s="562">
        <f t="shared" ca="1" si="17"/>
        <v>2.5437954877561487E-2</v>
      </c>
      <c r="T112" s="806">
        <f>+'P01 2025'!G90</f>
        <v>1884.96</v>
      </c>
      <c r="U112" s="804">
        <f>+'P01 2024'!K89</f>
        <v>809.78717400000005</v>
      </c>
      <c r="V112" s="804">
        <f>+'P01 2025'!N58</f>
        <v>3011.0569999999998</v>
      </c>
      <c r="W112" s="109">
        <f>+'P01 2024'!Q59</f>
        <v>508.42827</v>
      </c>
      <c r="X112" s="943">
        <f>+'P01 2024'!AE70</f>
        <v>1596.816</v>
      </c>
      <c r="Y112" s="208">
        <f>+'P01 2024'!AT60</f>
        <v>3542.42</v>
      </c>
      <c r="Z112" s="208">
        <f>+'P01 2024'!BI56</f>
        <v>739.66800000000001</v>
      </c>
      <c r="AA112" s="208">
        <f>+'P01 2024'!BX72</f>
        <v>1340.432</v>
      </c>
      <c r="AB112" s="208">
        <f>+'P01 2024'!CM72</f>
        <v>3508.462</v>
      </c>
      <c r="AC112" s="109">
        <f>+'P01 2024'!DB73</f>
        <v>4399.8019999999997</v>
      </c>
      <c r="AD112" s="208">
        <f>+'P01 2024'!DR69</f>
        <v>967.69500000000005</v>
      </c>
      <c r="AE112" s="208">
        <f>SUM(AE113:AE119)</f>
        <v>20973.005999999998</v>
      </c>
      <c r="AF112" s="208">
        <f>+'P01 2024'!ET63</f>
        <v>19912.942999999999</v>
      </c>
      <c r="AG112" s="1006">
        <f>+'P01 2024'!FL79</f>
        <v>4216.1959999999999</v>
      </c>
      <c r="AH112" s="915"/>
      <c r="AI112" s="915"/>
      <c r="AJ112" s="915"/>
      <c r="AK112" s="915"/>
      <c r="AL112" s="916"/>
      <c r="AM112" s="210"/>
      <c r="AN112" s="210"/>
      <c r="AO112" s="210"/>
      <c r="AP112" s="210"/>
      <c r="AQ112" s="210"/>
      <c r="AR112" s="210"/>
      <c r="AS112" s="210"/>
      <c r="AT112" s="210"/>
      <c r="AU112" s="210"/>
      <c r="AV112" s="210"/>
      <c r="AW112" s="210"/>
      <c r="AX112" s="201"/>
      <c r="AY112" s="201"/>
      <c r="AZ112" s="201"/>
      <c r="BA112" s="201"/>
      <c r="BB112" s="201"/>
      <c r="BC112" s="905"/>
      <c r="BD112" s="905"/>
      <c r="BE112" s="577"/>
      <c r="BF112" s="577"/>
      <c r="BG112" s="198"/>
      <c r="BH112" s="580"/>
      <c r="BI112" s="201"/>
      <c r="BJ112" s="210"/>
      <c r="BK112" s="201"/>
      <c r="BL112" s="201"/>
      <c r="BM112" s="210"/>
      <c r="BN112" s="210"/>
      <c r="BO112" s="210"/>
      <c r="BP112" s="210"/>
      <c r="BQ112" s="201"/>
      <c r="BR112" s="198"/>
      <c r="BS112" s="161"/>
      <c r="BT112" s="202"/>
      <c r="BU112" s="202"/>
    </row>
    <row r="113" spans="1:73" ht="15" hidden="1" customHeight="1" x14ac:dyDescent="0.25">
      <c r="B113" s="233" t="s">
        <v>560</v>
      </c>
      <c r="C113" s="964"/>
      <c r="D113" s="304"/>
      <c r="E113" s="419" t="s">
        <v>167</v>
      </c>
      <c r="F113" s="419"/>
      <c r="G113" s="418" t="str">
        <f>+CONCATENATE($C$80,"",$D$112,"",E113)</f>
        <v>22.06.001</v>
      </c>
      <c r="H113" s="812" t="s">
        <v>111</v>
      </c>
      <c r="I113" s="807">
        <f>+'P01 2025'!F91</f>
        <v>17290.246999999999</v>
      </c>
      <c r="J113" s="430">
        <f>+'P01 2025'!U93</f>
        <v>22394.794999999998</v>
      </c>
      <c r="K113" s="420">
        <f ca="1">SUMIF(T$3:$AG105,"ok",T113:AG113)</f>
        <v>4503.5550000000003</v>
      </c>
      <c r="L113" s="564">
        <f t="shared" ca="1" si="20"/>
        <v>0.20109829091983206</v>
      </c>
      <c r="M113" s="430">
        <f>+'P01 2025'!W93</f>
        <v>19533.273000000001</v>
      </c>
      <c r="N113" s="564">
        <f t="shared" si="21"/>
        <v>0.87222379128721661</v>
      </c>
      <c r="O113" s="421">
        <f t="shared" si="22"/>
        <v>2861.5219999999972</v>
      </c>
      <c r="P113" s="228">
        <f t="shared" si="15"/>
        <v>0.12777620871278336</v>
      </c>
      <c r="Q113" s="112">
        <f>+'P01 2024'!X91</f>
        <v>15516.650197999999</v>
      </c>
      <c r="R113" s="425">
        <f ca="1">SUMIF(T$3:$AG105,"SI",T113:AG113)</f>
        <v>64.80198</v>
      </c>
      <c r="S113" s="227">
        <f t="shared" ca="1" si="17"/>
        <v>4.1762867096374048E-3</v>
      </c>
      <c r="T113" s="422">
        <f>+'P01 2025'!G91</f>
        <v>1884.96</v>
      </c>
      <c r="U113" s="805">
        <f>+'P01 2024'!K90</f>
        <v>64.80198</v>
      </c>
      <c r="V113" s="805">
        <f>+'P01 2025'!N59</f>
        <v>2618.5949999999998</v>
      </c>
      <c r="W113" s="115">
        <v>0</v>
      </c>
      <c r="X113" s="944">
        <v>0</v>
      </c>
      <c r="Y113" s="112">
        <f>+'P01 2024'!AT61</f>
        <v>1981.74</v>
      </c>
      <c r="Z113" s="112">
        <v>0</v>
      </c>
      <c r="AA113" s="112">
        <v>0</v>
      </c>
      <c r="AB113" s="449">
        <f>+'P01 2024'!CM73</f>
        <v>2126.8000000000002</v>
      </c>
      <c r="AC113" s="241">
        <f>+'P01 2024'!DB74</f>
        <v>1404.2</v>
      </c>
      <c r="AD113" s="112">
        <f>+'P01 2024'!DR70</f>
        <v>371.28</v>
      </c>
      <c r="AE113" s="112">
        <f>'P01 2024'!EG68</f>
        <v>17663.476999999999</v>
      </c>
      <c r="AF113" s="112">
        <f>+'P01 2024'!ET64</f>
        <v>3447.87</v>
      </c>
      <c r="AG113" s="1086">
        <f>+'P01 2024'!FL80</f>
        <v>2337.7150000000001</v>
      </c>
      <c r="AH113" s="915"/>
      <c r="AI113" s="915"/>
      <c r="AJ113" s="915"/>
      <c r="AK113" s="915"/>
      <c r="AL113" s="916"/>
      <c r="BB113" s="201"/>
      <c r="BE113" s="577"/>
      <c r="BF113" s="577"/>
      <c r="BG113" s="198"/>
      <c r="BH113" s="580"/>
      <c r="BI113" s="201"/>
      <c r="BK113" s="201"/>
      <c r="BL113" s="201"/>
      <c r="BR113" s="198"/>
      <c r="BS113" s="161"/>
      <c r="BT113" s="202"/>
      <c r="BU113" s="202"/>
    </row>
    <row r="114" spans="1:73" ht="15" hidden="1" customHeight="1" x14ac:dyDescent="0.25">
      <c r="B114" s="233" t="s">
        <v>561</v>
      </c>
      <c r="C114" s="964"/>
      <c r="D114" s="304"/>
      <c r="E114" s="419" t="s">
        <v>163</v>
      </c>
      <c r="F114" s="419"/>
      <c r="G114" s="418" t="str">
        <f>+CONCATENATE($C$80,"",$D$112,"",E114)</f>
        <v>22.06.002</v>
      </c>
      <c r="H114" s="812" t="s">
        <v>61</v>
      </c>
      <c r="I114" s="807">
        <f>+'P01 2025'!F92</f>
        <v>14000</v>
      </c>
      <c r="J114" s="430">
        <f>+'P01 2025'!U94</f>
        <v>14459.993</v>
      </c>
      <c r="K114" s="420">
        <f ca="1">SUMIF(T$3:$AG106,"ok",T114:AG114)</f>
        <v>172.55</v>
      </c>
      <c r="L114" s="564">
        <f t="shared" ca="1" si="20"/>
        <v>1.1932924172231619E-2</v>
      </c>
      <c r="M114" s="430">
        <f>+'P01 2025'!W94</f>
        <v>2842.7809999999999</v>
      </c>
      <c r="N114" s="564">
        <f t="shared" si="21"/>
        <v>0.19659629157496825</v>
      </c>
      <c r="O114" s="421">
        <f t="shared" si="22"/>
        <v>11617.212</v>
      </c>
      <c r="P114" s="228">
        <f t="shared" si="15"/>
        <v>0.80340370842503173</v>
      </c>
      <c r="Q114" s="112">
        <f>+'P01 2024'!X92</f>
        <v>21444.255800000003</v>
      </c>
      <c r="R114" s="425">
        <f ca="1">SUMIF(T$3:$AG106,"SI",T114:AG114)</f>
        <v>1253.413464</v>
      </c>
      <c r="S114" s="227">
        <f t="shared" ca="1" si="17"/>
        <v>5.8449846695076253E-2</v>
      </c>
      <c r="T114" s="422">
        <f>+'P01 2025'!G92</f>
        <v>0</v>
      </c>
      <c r="U114" s="805">
        <f>+'P01 2024'!K91</f>
        <v>744.98519399999998</v>
      </c>
      <c r="V114" s="805">
        <f>+'P01 2025'!N60</f>
        <v>172.55</v>
      </c>
      <c r="W114" s="115">
        <f>+'P01 2024'!Q60</f>
        <v>508.42827</v>
      </c>
      <c r="X114" s="944">
        <f>+'P01 2024'!AE71</f>
        <v>1053.325</v>
      </c>
      <c r="Y114" s="112">
        <f>+'P01 2024'!AT62</f>
        <v>917.18899999999996</v>
      </c>
      <c r="Z114" s="112">
        <f>+'P01 2024'!BI57</f>
        <v>739.66800000000001</v>
      </c>
      <c r="AA114" s="112">
        <f>+'P01 2024'!BX73</f>
        <v>796.94100000000003</v>
      </c>
      <c r="AB114" s="449">
        <f>+'P01 2024'!CM74</f>
        <v>1381.662</v>
      </c>
      <c r="AC114" s="241">
        <f>+'P01 2024'!DB75</f>
        <v>1937.5360000000001</v>
      </c>
      <c r="AD114" s="112">
        <f>+'P01 2024'!DR71</f>
        <v>596.41499999999996</v>
      </c>
      <c r="AE114" s="112">
        <f>'P01 2024'!EG69</f>
        <v>1849.7329999999999</v>
      </c>
      <c r="AF114" s="112">
        <f>+'P01 2024'!ET65</f>
        <v>299.71800000000002</v>
      </c>
      <c r="AG114" s="1086">
        <f>+'P01 2024'!FL81</f>
        <v>906.59</v>
      </c>
      <c r="AH114" s="915"/>
      <c r="AI114" s="915"/>
      <c r="AJ114" s="915"/>
      <c r="AK114" s="915"/>
      <c r="AL114" s="916"/>
      <c r="BB114" s="201"/>
      <c r="BE114" s="577"/>
      <c r="BF114" s="577"/>
      <c r="BG114" s="198"/>
      <c r="BH114" s="580"/>
      <c r="BI114" s="201"/>
      <c r="BK114" s="201"/>
      <c r="BL114" s="201"/>
      <c r="BR114" s="198"/>
      <c r="BS114" s="161"/>
      <c r="BT114" s="202"/>
      <c r="BU114" s="202"/>
    </row>
    <row r="115" spans="1:73" ht="15" hidden="1" customHeight="1" x14ac:dyDescent="0.25">
      <c r="B115" s="233" t="s">
        <v>562</v>
      </c>
      <c r="C115" s="964"/>
      <c r="D115" s="304"/>
      <c r="E115" s="419" t="s">
        <v>164</v>
      </c>
      <c r="F115" s="419"/>
      <c r="G115" s="418" t="str">
        <f>+CONCATENATE($C$80,"",$D$112,"",E115)</f>
        <v>22.06.003</v>
      </c>
      <c r="H115" s="896" t="s">
        <v>112</v>
      </c>
      <c r="I115" s="344">
        <v>0</v>
      </c>
      <c r="J115" s="344">
        <v>0</v>
      </c>
      <c r="K115" s="436">
        <f ca="1">SUMIF(T$3:$AG107,"ok",T115:AG115)</f>
        <v>0</v>
      </c>
      <c r="L115" s="564">
        <f t="shared" ca="1" si="20"/>
        <v>0</v>
      </c>
      <c r="M115" s="436">
        <v>0</v>
      </c>
      <c r="N115" s="564">
        <f t="shared" si="21"/>
        <v>0</v>
      </c>
      <c r="O115" s="429">
        <f t="shared" si="22"/>
        <v>0</v>
      </c>
      <c r="P115" s="228">
        <f t="shared" si="15"/>
        <v>0</v>
      </c>
      <c r="Q115" s="112">
        <f>+'P01 2024'!X93</f>
        <v>3126</v>
      </c>
      <c r="R115" s="425">
        <f ca="1">SUMIF(T$3:$AG107,"SI",T115:AG115)</f>
        <v>0</v>
      </c>
      <c r="S115" s="227">
        <f t="shared" ca="1" si="17"/>
        <v>0</v>
      </c>
      <c r="T115" s="422">
        <v>0</v>
      </c>
      <c r="U115" s="805">
        <f>+'P01 2024'!K92</f>
        <v>0</v>
      </c>
      <c r="V115" s="805">
        <v>0</v>
      </c>
      <c r="W115" s="115">
        <v>0</v>
      </c>
      <c r="X115" s="944">
        <v>0</v>
      </c>
      <c r="Y115" s="112">
        <v>0</v>
      </c>
      <c r="Z115" s="112">
        <v>0</v>
      </c>
      <c r="AA115" s="112">
        <v>0</v>
      </c>
      <c r="AB115" s="112">
        <v>0</v>
      </c>
      <c r="AC115" s="241">
        <v>0</v>
      </c>
      <c r="AD115" s="112">
        <v>0</v>
      </c>
      <c r="AE115" s="112">
        <v>0</v>
      </c>
      <c r="AF115" s="112">
        <v>0</v>
      </c>
      <c r="AG115" s="1086">
        <v>0</v>
      </c>
      <c r="AH115" s="915"/>
      <c r="AI115" s="915"/>
      <c r="AJ115" s="915"/>
      <c r="AK115" s="915"/>
      <c r="AL115" s="916"/>
      <c r="BB115" s="201"/>
      <c r="BE115" s="577"/>
      <c r="BF115" s="577"/>
      <c r="BG115" s="198"/>
      <c r="BH115" s="580"/>
      <c r="BI115" s="201"/>
      <c r="BK115" s="201"/>
      <c r="BL115" s="201"/>
      <c r="BR115" s="198"/>
      <c r="BS115" s="161"/>
      <c r="BT115" s="202"/>
      <c r="BU115" s="202"/>
    </row>
    <row r="116" spans="1:73" ht="15" hidden="1" customHeight="1" x14ac:dyDescent="0.25">
      <c r="B116" s="233" t="s">
        <v>563</v>
      </c>
      <c r="C116" s="964"/>
      <c r="D116" s="304"/>
      <c r="E116" s="419" t="s">
        <v>177</v>
      </c>
      <c r="F116" s="419"/>
      <c r="G116" s="418" t="s">
        <v>747</v>
      </c>
      <c r="H116" s="897" t="s">
        <v>608</v>
      </c>
      <c r="I116" s="342">
        <f>+'P01 2025'!F93</f>
        <v>214.2</v>
      </c>
      <c r="J116" s="436">
        <f>+'P01 2025'!U95</f>
        <v>577.26900000000001</v>
      </c>
      <c r="K116" s="436">
        <f ca="1">SUMIF(T$3:$AG108,"ok",T116:AG116)</f>
        <v>219.91200000000001</v>
      </c>
      <c r="L116" s="564">
        <f t="shared" ca="1" si="20"/>
        <v>0.38095238095238099</v>
      </c>
      <c r="M116" s="436">
        <f>+'P01 2025'!W95</f>
        <v>577.26900000000001</v>
      </c>
      <c r="N116" s="564">
        <f t="shared" si="21"/>
        <v>1</v>
      </c>
      <c r="O116" s="436">
        <f t="shared" si="22"/>
        <v>0</v>
      </c>
      <c r="P116" s="228">
        <f t="shared" si="15"/>
        <v>0</v>
      </c>
      <c r="Q116" s="112">
        <v>0</v>
      </c>
      <c r="R116" s="425">
        <f ca="1">SUMIF(T$3:$AG108,"SI",T116:AG116)</f>
        <v>0</v>
      </c>
      <c r="S116" s="227" t="str">
        <f t="shared" ca="1" si="17"/>
        <v>0,00%</v>
      </c>
      <c r="T116" s="422">
        <f>+'P01 2025'!G93</f>
        <v>0</v>
      </c>
      <c r="U116" s="805">
        <v>0</v>
      </c>
      <c r="V116" s="805">
        <f>+'P01 2025'!N61</f>
        <v>219.91200000000001</v>
      </c>
      <c r="W116" s="115">
        <v>0</v>
      </c>
      <c r="X116" s="944">
        <v>0</v>
      </c>
      <c r="Y116" s="112">
        <f>+'P01 2024'!AT63</f>
        <v>100</v>
      </c>
      <c r="Z116" s="112">
        <v>0</v>
      </c>
      <c r="AA116" s="112">
        <v>0</v>
      </c>
      <c r="AB116" s="112">
        <v>0</v>
      </c>
      <c r="AC116" s="241">
        <f>+'P01 2024'!DB76</f>
        <v>514.57500000000005</v>
      </c>
      <c r="AD116" s="112">
        <v>0</v>
      </c>
      <c r="AE116" s="112">
        <v>0</v>
      </c>
      <c r="AF116" s="112">
        <f>+'P01 2024'!ET66</f>
        <v>4888.884</v>
      </c>
      <c r="AG116" s="1087">
        <f>+'P01 2024'!FL82</f>
        <v>428.4</v>
      </c>
      <c r="AH116" s="915"/>
      <c r="AI116" s="915"/>
      <c r="AJ116" s="915"/>
      <c r="AK116" s="915"/>
      <c r="AL116" s="916"/>
      <c r="BB116" s="201"/>
      <c r="BE116" s="577"/>
      <c r="BF116" s="577"/>
      <c r="BG116" s="198"/>
      <c r="BH116" s="580"/>
      <c r="BI116" s="201"/>
      <c r="BK116" s="201"/>
      <c r="BL116" s="201"/>
      <c r="BQ116" s="202"/>
      <c r="BR116" s="202"/>
    </row>
    <row r="117" spans="1:73" ht="15" hidden="1" customHeight="1" x14ac:dyDescent="0.25">
      <c r="B117" s="233" t="s">
        <v>952</v>
      </c>
      <c r="C117" s="964"/>
      <c r="D117" s="304"/>
      <c r="E117" s="419" t="s">
        <v>179</v>
      </c>
      <c r="F117" s="419"/>
      <c r="G117" s="418" t="str">
        <f>+CONCATENATE($C$80,"",$D$112,"",E117)</f>
        <v>22.06.006</v>
      </c>
      <c r="H117" s="896" t="s">
        <v>641</v>
      </c>
      <c r="I117" s="342">
        <v>0</v>
      </c>
      <c r="J117" s="436">
        <v>0</v>
      </c>
      <c r="K117" s="436">
        <f ca="1">SUMIF(T$3:$AG109,"ok",T117:AG117)</f>
        <v>0</v>
      </c>
      <c r="L117" s="564">
        <f t="shared" ca="1" si="20"/>
        <v>0</v>
      </c>
      <c r="M117" s="436">
        <v>0</v>
      </c>
      <c r="N117" s="564">
        <f t="shared" si="21"/>
        <v>0</v>
      </c>
      <c r="O117" s="436">
        <f t="shared" si="22"/>
        <v>0</v>
      </c>
      <c r="P117" s="228">
        <f t="shared" si="15"/>
        <v>0</v>
      </c>
      <c r="Q117" s="112">
        <v>0</v>
      </c>
      <c r="R117" s="425">
        <f ca="1">SUMIF(T$3:$AG109,"SI",T117:AG117)</f>
        <v>0</v>
      </c>
      <c r="S117" s="227" t="str">
        <f t="shared" ref="S117:S149" ca="1" si="23">IFERROR(R117/Q117,"0,00%")</f>
        <v>0,00%</v>
      </c>
      <c r="T117" s="422">
        <v>0</v>
      </c>
      <c r="U117" s="805">
        <v>0</v>
      </c>
      <c r="V117" s="805">
        <v>0</v>
      </c>
      <c r="W117" s="115">
        <v>0</v>
      </c>
      <c r="X117" s="944">
        <v>0</v>
      </c>
      <c r="Y117" s="112">
        <v>0</v>
      </c>
      <c r="Z117" s="112">
        <v>0</v>
      </c>
      <c r="AA117" s="427">
        <v>0</v>
      </c>
      <c r="AB117" s="112">
        <v>0</v>
      </c>
      <c r="AC117" s="241">
        <v>0</v>
      </c>
      <c r="AD117" s="112">
        <v>0</v>
      </c>
      <c r="AE117" s="112">
        <v>0</v>
      </c>
      <c r="AF117" s="112">
        <v>0</v>
      </c>
      <c r="AG117" s="1087">
        <v>0</v>
      </c>
      <c r="AH117" s="915"/>
      <c r="AI117" s="915"/>
      <c r="AJ117" s="915"/>
      <c r="AK117" s="915"/>
      <c r="AL117" s="916"/>
      <c r="BB117" s="201"/>
      <c r="BE117" s="577"/>
      <c r="BF117" s="577"/>
      <c r="BG117" s="198"/>
      <c r="BH117" s="580"/>
      <c r="BI117" s="201"/>
      <c r="BK117" s="201"/>
      <c r="BL117" s="201"/>
      <c r="BQ117" s="202"/>
      <c r="BR117" s="202"/>
    </row>
    <row r="118" spans="1:73" ht="15" hidden="1" customHeight="1" x14ac:dyDescent="0.25">
      <c r="B118" s="233" t="s">
        <v>564</v>
      </c>
      <c r="C118" s="964"/>
      <c r="D118" s="304"/>
      <c r="E118" s="419" t="s">
        <v>168</v>
      </c>
      <c r="F118" s="419"/>
      <c r="G118" s="418" t="str">
        <f>+CONCATENATE($C$80,"",$D$112,"",E118)</f>
        <v>22.06.007</v>
      </c>
      <c r="H118" s="812" t="s">
        <v>63</v>
      </c>
      <c r="I118" s="807">
        <f>+'P01 2025'!F94</f>
        <v>6000</v>
      </c>
      <c r="J118" s="430">
        <f>+'P01 2025'!U96</f>
        <v>6000</v>
      </c>
      <c r="K118" s="420">
        <f ca="1">SUMIF(T$3:$AG110,"ok",T118:AG118)</f>
        <v>0</v>
      </c>
      <c r="L118" s="564">
        <f t="shared" ca="1" si="20"/>
        <v>0</v>
      </c>
      <c r="M118" s="430">
        <f>+'P01 2025'!W96</f>
        <v>3521.5050000000001</v>
      </c>
      <c r="N118" s="564">
        <f t="shared" si="21"/>
        <v>0.58691749999999998</v>
      </c>
      <c r="O118" s="421">
        <f t="shared" si="22"/>
        <v>2478.4949999999999</v>
      </c>
      <c r="P118" s="228">
        <f t="shared" si="15"/>
        <v>0.41308249999999996</v>
      </c>
      <c r="Q118" s="112">
        <f>+'P01 2024'!X94</f>
        <v>11733.904689999999</v>
      </c>
      <c r="R118" s="425">
        <f ca="1">SUMIF(T$3:$AG110,"SI",T118:AG118)</f>
        <v>0</v>
      </c>
      <c r="S118" s="227">
        <f t="shared" ca="1" si="23"/>
        <v>0</v>
      </c>
      <c r="T118" s="422">
        <f>+'P01 2025'!G94</f>
        <v>0</v>
      </c>
      <c r="U118" s="805">
        <f>+'P01 2024'!K92</f>
        <v>0</v>
      </c>
      <c r="V118" s="805">
        <v>0</v>
      </c>
      <c r="W118" s="115">
        <v>0</v>
      </c>
      <c r="X118" s="944">
        <f>+'P01 2024'!AE72</f>
        <v>543.49099999999999</v>
      </c>
      <c r="Y118" s="112">
        <f>+'P01 2024'!AT64</f>
        <v>543.49099999999999</v>
      </c>
      <c r="Z118" s="112">
        <v>0</v>
      </c>
      <c r="AA118" s="112">
        <f>+'P01 2024'!BX74</f>
        <v>543.49099999999999</v>
      </c>
      <c r="AB118" s="112">
        <v>0</v>
      </c>
      <c r="AC118" s="241">
        <f>+'P01 2024'!DB77</f>
        <v>543.49099999999999</v>
      </c>
      <c r="AD118" s="112">
        <v>0</v>
      </c>
      <c r="AE118" s="112">
        <f>'P01 2024'!EG70</f>
        <v>1174.1959999999999</v>
      </c>
      <c r="AF118" s="112">
        <f>+'P01 2024'!ET67</f>
        <v>11276.471</v>
      </c>
      <c r="AG118" s="1086">
        <f>+'P01 2024'!FL83</f>
        <v>543.49099999999999</v>
      </c>
      <c r="AH118" s="915"/>
      <c r="AI118" s="915"/>
      <c r="AJ118" s="915"/>
      <c r="AK118" s="915"/>
      <c r="AL118" s="916"/>
      <c r="BB118" s="201"/>
      <c r="BE118" s="577"/>
      <c r="BF118" s="577"/>
      <c r="BG118" s="198"/>
      <c r="BH118" s="580"/>
      <c r="BI118" s="201"/>
      <c r="BK118" s="201"/>
      <c r="BL118" s="201"/>
      <c r="BQ118" s="202"/>
      <c r="BR118" s="202"/>
    </row>
    <row r="119" spans="1:73" ht="15" hidden="1" customHeight="1" x14ac:dyDescent="0.25">
      <c r="B119" s="233" t="s">
        <v>382</v>
      </c>
      <c r="C119" s="964"/>
      <c r="D119" s="304"/>
      <c r="E119" s="419" t="s">
        <v>175</v>
      </c>
      <c r="F119" s="419"/>
      <c r="G119" s="418" t="str">
        <f>+CONCATENATE($C$80,"",$D$112,"",E119)</f>
        <v>22.06.999</v>
      </c>
      <c r="H119" s="896" t="s">
        <v>51</v>
      </c>
      <c r="I119" s="342">
        <v>0</v>
      </c>
      <c r="J119" s="436">
        <v>0</v>
      </c>
      <c r="K119" s="436">
        <f ca="1">SUMIF(T$3:$AG111,"ok",T119:AG119)</f>
        <v>0</v>
      </c>
      <c r="L119" s="564">
        <f t="shared" ca="1" si="20"/>
        <v>0</v>
      </c>
      <c r="M119" s="436">
        <v>0</v>
      </c>
      <c r="N119" s="564">
        <f t="shared" si="21"/>
        <v>0</v>
      </c>
      <c r="O119" s="436">
        <f t="shared" si="22"/>
        <v>0</v>
      </c>
      <c r="P119" s="228">
        <f t="shared" si="15"/>
        <v>0</v>
      </c>
      <c r="Q119" s="112">
        <v>0</v>
      </c>
      <c r="R119" s="425">
        <f ca="1">SUMIF(T$3:$AG111,"SI",T119:AG119)</f>
        <v>0</v>
      </c>
      <c r="S119" s="227" t="str">
        <f t="shared" ca="1" si="23"/>
        <v>0,00%</v>
      </c>
      <c r="T119" s="422">
        <v>0</v>
      </c>
      <c r="U119" s="805">
        <v>0</v>
      </c>
      <c r="V119" s="805">
        <v>0</v>
      </c>
      <c r="W119" s="115">
        <v>0</v>
      </c>
      <c r="X119" s="944">
        <v>0</v>
      </c>
      <c r="Y119" s="112">
        <v>0</v>
      </c>
      <c r="Z119" s="112">
        <v>0</v>
      </c>
      <c r="AA119" s="427">
        <v>0</v>
      </c>
      <c r="AB119" s="112">
        <v>0</v>
      </c>
      <c r="AC119" s="241">
        <v>0</v>
      </c>
      <c r="AD119" s="112">
        <v>0</v>
      </c>
      <c r="AE119" s="112">
        <f>'P01 2024'!EG71</f>
        <v>285.60000000000002</v>
      </c>
      <c r="AF119" s="112">
        <v>0</v>
      </c>
      <c r="AG119" s="1087">
        <v>0</v>
      </c>
      <c r="AH119" s="915"/>
      <c r="AI119" s="915"/>
      <c r="AJ119" s="915"/>
      <c r="AK119" s="915"/>
      <c r="AL119" s="916"/>
      <c r="BB119" s="201"/>
      <c r="BE119" s="577"/>
      <c r="BF119" s="577"/>
      <c r="BG119" s="198"/>
      <c r="BH119" s="580"/>
      <c r="BI119" s="201"/>
      <c r="BK119" s="201"/>
      <c r="BL119" s="201"/>
      <c r="BQ119" s="202"/>
      <c r="BR119" s="202"/>
    </row>
    <row r="120" spans="1:73" s="417" customFormat="1" ht="15" hidden="1" customHeight="1" x14ac:dyDescent="0.25">
      <c r="A120" s="107"/>
      <c r="B120" s="233" t="s">
        <v>383</v>
      </c>
      <c r="C120" s="961"/>
      <c r="D120" s="238" t="s">
        <v>181</v>
      </c>
      <c r="E120" s="424"/>
      <c r="F120" s="424"/>
      <c r="G120" s="424"/>
      <c r="H120" s="898" t="s">
        <v>64</v>
      </c>
      <c r="I120" s="574">
        <f>+'P01 2025'!F95</f>
        <v>16010</v>
      </c>
      <c r="J120" s="432">
        <f>+'P01 2025'!U97</f>
        <v>16069.5</v>
      </c>
      <c r="K120" s="415">
        <f ca="1">SUMIF(T$3:$AG112,"ok",T120:AG120)</f>
        <v>3475.203</v>
      </c>
      <c r="L120" s="562">
        <f t="shared" ca="1" si="20"/>
        <v>0.21626080462988892</v>
      </c>
      <c r="M120" s="432">
        <f>+'P01 2025'!W97</f>
        <v>4837.4840000000004</v>
      </c>
      <c r="N120" s="562">
        <f t="shared" si="21"/>
        <v>0.30103512865988363</v>
      </c>
      <c r="O120" s="415">
        <f t="shared" si="22"/>
        <v>11232.016</v>
      </c>
      <c r="P120" s="691">
        <f t="shared" si="15"/>
        <v>0.69896487134011631</v>
      </c>
      <c r="Q120" s="442">
        <f>+'P01 2024'!X95</f>
        <v>10667.376010000002</v>
      </c>
      <c r="R120" s="208">
        <f ca="1">SUM(R121:R122)</f>
        <v>1243.9291800000001</v>
      </c>
      <c r="S120" s="562">
        <f t="shared" ca="1" si="23"/>
        <v>0.11661060591038451</v>
      </c>
      <c r="T120" s="806">
        <f>+'P01 2025'!G95</f>
        <v>10</v>
      </c>
      <c r="U120" s="804">
        <f>+'P01 2024'!K94</f>
        <v>1243.9291800000001</v>
      </c>
      <c r="V120" s="804">
        <f>+'P01 2025'!N62</f>
        <v>3465.203</v>
      </c>
      <c r="W120" s="109">
        <v>0</v>
      </c>
      <c r="X120" s="943">
        <f>+'P01 2024'!AE73</f>
        <v>2429.598</v>
      </c>
      <c r="Y120" s="208">
        <f>+'P01 2024'!AT65</f>
        <v>1079.9970000000001</v>
      </c>
      <c r="Z120" s="208">
        <f>+'P01 2024'!BI58</f>
        <v>7531.6989999999996</v>
      </c>
      <c r="AA120" s="208">
        <f>+'P01 2024'!BX75</f>
        <v>116.76600000000001</v>
      </c>
      <c r="AB120" s="208">
        <f>+'P01 2024'!CM75</f>
        <v>34807.762999999999</v>
      </c>
      <c r="AC120" s="109">
        <f>+'P01 2024'!DB78</f>
        <v>3445.5619999999999</v>
      </c>
      <c r="AD120" s="208">
        <f>+'P01 2024'!DR72</f>
        <v>65494.006000000001</v>
      </c>
      <c r="AE120" s="208">
        <f>SUM(AE121:AE122)</f>
        <v>1838.7070000000001</v>
      </c>
      <c r="AF120" s="208">
        <f>+'P01 2024'!ET68</f>
        <v>486.24400000000003</v>
      </c>
      <c r="AG120" s="1005">
        <f>+'P01 2024'!FL84</f>
        <v>1590.7539999999999</v>
      </c>
      <c r="AH120" s="915"/>
      <c r="AI120" s="915"/>
      <c r="AJ120" s="915"/>
      <c r="AK120" s="915"/>
      <c r="AL120" s="916"/>
      <c r="AM120" s="210"/>
      <c r="AN120" s="210"/>
      <c r="AO120" s="210"/>
      <c r="AP120" s="210"/>
      <c r="AQ120" s="210"/>
      <c r="AR120" s="210"/>
      <c r="AS120" s="210"/>
      <c r="AT120" s="210"/>
      <c r="AU120" s="210"/>
      <c r="AV120" s="210"/>
      <c r="AW120" s="210"/>
      <c r="AX120" s="201"/>
      <c r="AY120" s="201"/>
      <c r="AZ120" s="201"/>
      <c r="BA120" s="201"/>
      <c r="BB120" s="201"/>
      <c r="BC120" s="905"/>
      <c r="BD120" s="905"/>
      <c r="BE120" s="577"/>
      <c r="BF120" s="577"/>
      <c r="BG120" s="198"/>
      <c r="BH120" s="580"/>
      <c r="BI120" s="201"/>
      <c r="BJ120" s="210"/>
      <c r="BK120" s="201"/>
      <c r="BL120" s="201"/>
      <c r="BM120" s="210"/>
      <c r="BN120" s="210"/>
      <c r="BO120" s="210"/>
      <c r="BP120" s="210"/>
      <c r="BQ120" s="202"/>
      <c r="BR120" s="202"/>
    </row>
    <row r="121" spans="1:73" ht="15" hidden="1" customHeight="1" x14ac:dyDescent="0.25">
      <c r="B121" s="233" t="s">
        <v>384</v>
      </c>
      <c r="C121" s="964"/>
      <c r="D121" s="304"/>
      <c r="E121" s="419" t="s">
        <v>167</v>
      </c>
      <c r="F121" s="419"/>
      <c r="G121" s="418" t="str">
        <f>+CONCATENATE($C$80,"",$D$120,"",E121)</f>
        <v>22.07.001</v>
      </c>
      <c r="H121" s="812" t="s">
        <v>65</v>
      </c>
      <c r="I121" s="811">
        <f>+'P01 2025'!F96</f>
        <v>9000</v>
      </c>
      <c r="J121" s="561">
        <f>+'P01 2025'!U98</f>
        <v>9000</v>
      </c>
      <c r="K121" s="344">
        <f ca="1">SUMIF(T$3:$AG113,"ok",T121:AG121)</f>
        <v>3405.703</v>
      </c>
      <c r="L121" s="570">
        <f t="shared" ca="1" si="20"/>
        <v>0.37841144444444447</v>
      </c>
      <c r="M121" s="561">
        <f>+'P01 2025'!W98</f>
        <v>4767.9840000000004</v>
      </c>
      <c r="N121" s="570">
        <f t="shared" si="21"/>
        <v>0.52977600000000002</v>
      </c>
      <c r="O121" s="429">
        <f t="shared" si="22"/>
        <v>4232.0159999999996</v>
      </c>
      <c r="P121" s="228">
        <f t="shared" si="15"/>
        <v>0.47022399999999998</v>
      </c>
      <c r="Q121" s="112">
        <f>+'P01 2024'!X96</f>
        <v>10109.607998000001</v>
      </c>
      <c r="R121" s="425">
        <f ca="1">SUMIF(T$3:$AG111,"SI",T121:AG121)</f>
        <v>996.55317000000002</v>
      </c>
      <c r="S121" s="227">
        <f t="shared" ca="1" si="23"/>
        <v>9.8574857719226069E-2</v>
      </c>
      <c r="T121" s="422">
        <f>+'P01 2025'!G96</f>
        <v>0</v>
      </c>
      <c r="U121" s="805">
        <f>+'P01 2024'!K95</f>
        <v>996.55317000000002</v>
      </c>
      <c r="V121" s="805">
        <f>+'P01 2025'!N63</f>
        <v>3405.703</v>
      </c>
      <c r="W121" s="115">
        <v>0</v>
      </c>
      <c r="X121" s="944">
        <f>+'P01 2024'!AE74</f>
        <v>1848.367</v>
      </c>
      <c r="Y121" s="112">
        <f>+'P01 2024'!AT66</f>
        <v>782.49699999999996</v>
      </c>
      <c r="Z121" s="112">
        <f>+'P01 2024'!BI59</f>
        <v>2550.3589999999999</v>
      </c>
      <c r="AA121" s="112">
        <v>0</v>
      </c>
      <c r="AB121" s="112">
        <f>+'P01 2024'!CM76</f>
        <v>34698.283000000003</v>
      </c>
      <c r="AC121" s="109">
        <f>+'P01 2024'!DB79</f>
        <v>3445.5619999999999</v>
      </c>
      <c r="AD121" s="112">
        <f>+'P01 2024'!DR73</f>
        <v>64439.665999999997</v>
      </c>
      <c r="AE121" s="112">
        <f>'P01 2024'!EG73</f>
        <v>1838.7070000000001</v>
      </c>
      <c r="AF121" s="112">
        <f>+'P01 2024'!ET69</f>
        <v>486.24400000000003</v>
      </c>
      <c r="AG121" s="1086">
        <f>+'P01 2024'!FL85</f>
        <v>1590.7539999999999</v>
      </c>
      <c r="AH121" s="915"/>
      <c r="AI121" s="915"/>
      <c r="AJ121" s="915"/>
      <c r="AK121" s="915"/>
      <c r="AL121" s="916"/>
      <c r="BB121" s="201"/>
      <c r="BE121" s="577"/>
      <c r="BF121" s="577"/>
      <c r="BG121" s="198"/>
      <c r="BH121" s="580"/>
      <c r="BI121" s="201"/>
      <c r="BK121" s="201"/>
      <c r="BL121" s="201"/>
      <c r="BQ121" s="202"/>
      <c r="BR121" s="202"/>
    </row>
    <row r="122" spans="1:73" ht="15" hidden="1" customHeight="1" x14ac:dyDescent="0.25">
      <c r="B122" s="233" t="s">
        <v>385</v>
      </c>
      <c r="C122" s="964"/>
      <c r="D122" s="304"/>
      <c r="E122" s="419" t="s">
        <v>163</v>
      </c>
      <c r="F122" s="419"/>
      <c r="G122" s="418" t="str">
        <f>+CONCATENATE($C$80,"",$D$120,"",E122)</f>
        <v>22.07.002</v>
      </c>
      <c r="H122" s="812" t="s">
        <v>66</v>
      </c>
      <c r="I122" s="811">
        <f>+'P01 2025'!F97</f>
        <v>7010</v>
      </c>
      <c r="J122" s="561">
        <f>+'P01 2025'!U99</f>
        <v>7069.5</v>
      </c>
      <c r="K122" s="344">
        <f ca="1">SUMIF(T$3:$AG114,"ok",T122:AG122)</f>
        <v>69.5</v>
      </c>
      <c r="L122" s="570">
        <f t="shared" ca="1" si="20"/>
        <v>9.830964000282905E-3</v>
      </c>
      <c r="M122" s="561">
        <f>+'P01 2025'!W99</f>
        <v>69.5</v>
      </c>
      <c r="N122" s="570">
        <f t="shared" si="21"/>
        <v>9.830964000282905E-3</v>
      </c>
      <c r="O122" s="429">
        <f t="shared" si="22"/>
        <v>7000</v>
      </c>
      <c r="P122" s="228">
        <f t="shared" si="15"/>
        <v>0.99016903599971706</v>
      </c>
      <c r="Q122" s="112">
        <f>+'P01 2024'!X97</f>
        <v>557.768012</v>
      </c>
      <c r="R122" s="425">
        <f ca="1">SUMIF(T$3:$AG112,"SI",T122:AG122)</f>
        <v>247.37601000000001</v>
      </c>
      <c r="S122" s="227">
        <f t="shared" ca="1" si="23"/>
        <v>0.44351057191856319</v>
      </c>
      <c r="T122" s="422">
        <f>+'P01 2025'!G97</f>
        <v>10</v>
      </c>
      <c r="U122" s="805">
        <f>+'P01 2024'!K96</f>
        <v>247.37601000000001</v>
      </c>
      <c r="V122" s="805">
        <f>+'P01 2025'!N64</f>
        <v>59.5</v>
      </c>
      <c r="W122" s="115">
        <v>0</v>
      </c>
      <c r="X122" s="944">
        <f>+'P01 2024'!AE75</f>
        <v>581.23099999999999</v>
      </c>
      <c r="Y122" s="112">
        <f>+'P01 2024'!AT67</f>
        <v>297.5</v>
      </c>
      <c r="Z122" s="112">
        <f>+'P01 2024'!BI60</f>
        <v>4981.34</v>
      </c>
      <c r="AA122" s="427">
        <f>+'P01 2024'!BX76</f>
        <v>116.76600000000001</v>
      </c>
      <c r="AB122" s="112">
        <f>+'P01 2024'!CM77</f>
        <v>109.48</v>
      </c>
      <c r="AC122" s="241">
        <v>0</v>
      </c>
      <c r="AD122" s="112">
        <f>+'P01 2024'!DR74</f>
        <v>1054.3399999999999</v>
      </c>
      <c r="AE122" s="112">
        <v>0</v>
      </c>
      <c r="AF122" s="112">
        <v>0</v>
      </c>
      <c r="AG122" s="1086">
        <v>0</v>
      </c>
      <c r="AH122" s="915"/>
      <c r="AI122" s="915"/>
      <c r="AJ122" s="915"/>
      <c r="AK122" s="915"/>
      <c r="AL122" s="916"/>
      <c r="BB122" s="201"/>
      <c r="BE122" s="577"/>
      <c r="BF122" s="577"/>
      <c r="BG122" s="198"/>
      <c r="BH122" s="580"/>
      <c r="BI122" s="201"/>
      <c r="BK122" s="201"/>
      <c r="BL122" s="201"/>
      <c r="BQ122" s="202"/>
      <c r="BR122" s="202"/>
    </row>
    <row r="123" spans="1:73" s="417" customFormat="1" ht="15" hidden="1" customHeight="1" x14ac:dyDescent="0.25">
      <c r="A123" s="107"/>
      <c r="B123" s="233" t="s">
        <v>386</v>
      </c>
      <c r="C123" s="47"/>
      <c r="D123" s="47" t="s">
        <v>182</v>
      </c>
      <c r="E123" s="424"/>
      <c r="F123" s="424"/>
      <c r="G123" s="424"/>
      <c r="H123" s="898" t="s">
        <v>67</v>
      </c>
      <c r="I123" s="574">
        <f>+'P01 2025'!F98</f>
        <v>286316.47200000001</v>
      </c>
      <c r="J123" s="432">
        <f>+'P01 2025'!U100</f>
        <v>443413.62800000003</v>
      </c>
      <c r="K123" s="415">
        <f ca="1">SUMIF(T$3:$AG115,"ok",T123:AG123)</f>
        <v>40845.82</v>
      </c>
      <c r="L123" s="562">
        <f t="shared" ca="1" si="20"/>
        <v>9.2116744774474985E-2</v>
      </c>
      <c r="M123" s="432">
        <f>+'P01 2025'!W100</f>
        <v>245279.508</v>
      </c>
      <c r="N123" s="562">
        <f t="shared" si="21"/>
        <v>0.55316186177299898</v>
      </c>
      <c r="O123" s="415">
        <f t="shared" si="22"/>
        <v>198134.12000000002</v>
      </c>
      <c r="P123" s="691">
        <f t="shared" si="15"/>
        <v>0.44683813822700102</v>
      </c>
      <c r="Q123" s="442">
        <f>+'P01 2024'!X98</f>
        <v>425597.44136400003</v>
      </c>
      <c r="R123" s="208">
        <f ca="1">SUMIF(T$3:$AG115,"SI",T123:AG123)</f>
        <v>60762.678461999996</v>
      </c>
      <c r="S123" s="562">
        <f t="shared" ca="1" si="23"/>
        <v>0.14277030958471293</v>
      </c>
      <c r="T123" s="806">
        <f>+'P01 2025'!G98</f>
        <v>11402.038</v>
      </c>
      <c r="U123" s="804">
        <f>+'P01 2024'!K97</f>
        <v>25480.114570000002</v>
      </c>
      <c r="V123" s="804">
        <f>+'P01 2025'!N65</f>
        <v>29443.781999999999</v>
      </c>
      <c r="W123" s="109">
        <f>+'P01 2024'!Q61</f>
        <v>35282.563891999998</v>
      </c>
      <c r="X123" s="943">
        <f>+'P01 2024'!AE76</f>
        <v>38229.707999999999</v>
      </c>
      <c r="Y123" s="208">
        <f>+'P01 2024'!AT68</f>
        <v>49037.086000000003</v>
      </c>
      <c r="Z123" s="208">
        <f>+'P01 2024'!BI61</f>
        <v>35116.616000000002</v>
      </c>
      <c r="AA123" s="208">
        <f>+'P01 2024'!BX77</f>
        <v>120322.38499999999</v>
      </c>
      <c r="AB123" s="208">
        <f>+'P01 2024'!CM78</f>
        <v>169821.073</v>
      </c>
      <c r="AC123" s="208">
        <f>+'P01 2024'!DB80</f>
        <v>48623.048999999999</v>
      </c>
      <c r="AD123" s="208">
        <f>+'P01 2024'!DR75</f>
        <v>29949.192999999999</v>
      </c>
      <c r="AE123" s="208">
        <f>SUM(AE124:AE130)</f>
        <v>83266.028999999995</v>
      </c>
      <c r="AF123" s="208">
        <f>+'P01 2024'!ET70</f>
        <v>134955.799</v>
      </c>
      <c r="AG123" s="1005">
        <f>+'P01 2024'!FL86</f>
        <v>66026.34</v>
      </c>
      <c r="AH123" s="915"/>
      <c r="AI123" s="915"/>
      <c r="AJ123" s="915"/>
      <c r="AK123" s="915"/>
      <c r="AL123" s="916"/>
      <c r="AM123" s="210"/>
      <c r="AN123" s="210"/>
      <c r="AO123" s="210"/>
      <c r="AP123" s="210"/>
      <c r="AQ123" s="210"/>
      <c r="AR123" s="210"/>
      <c r="AS123" s="210"/>
      <c r="AT123" s="210"/>
      <c r="AU123" s="210"/>
      <c r="AV123" s="210"/>
      <c r="AW123" s="210"/>
      <c r="AX123" s="201"/>
      <c r="AY123" s="201"/>
      <c r="AZ123" s="201"/>
      <c r="BA123" s="201"/>
      <c r="BB123" s="201"/>
      <c r="BC123" s="905"/>
      <c r="BD123" s="905"/>
      <c r="BE123" s="577"/>
      <c r="BF123" s="577"/>
      <c r="BG123" s="198"/>
      <c r="BH123" s="580"/>
      <c r="BI123" s="201"/>
      <c r="BJ123" s="210"/>
      <c r="BK123" s="201"/>
      <c r="BL123" s="201"/>
      <c r="BM123" s="210"/>
      <c r="BN123" s="210"/>
      <c r="BO123" s="210"/>
      <c r="BP123" s="210"/>
      <c r="BQ123" s="202"/>
      <c r="BR123" s="202"/>
    </row>
    <row r="124" spans="1:73" ht="15" hidden="1" customHeight="1" x14ac:dyDescent="0.25">
      <c r="B124" s="233" t="s">
        <v>387</v>
      </c>
      <c r="C124" s="964"/>
      <c r="D124" s="304"/>
      <c r="E124" s="419" t="s">
        <v>167</v>
      </c>
      <c r="F124" s="419"/>
      <c r="G124" s="418" t="str">
        <f>+CONCATENATE($C$80,"",$D$123,"",E124)</f>
        <v>22.08.001</v>
      </c>
      <c r="H124" s="812" t="s">
        <v>68</v>
      </c>
      <c r="I124" s="811">
        <f>+'P01 2025'!F99</f>
        <v>118014.527</v>
      </c>
      <c r="J124" s="561">
        <f>+'P01 2025'!U101</f>
        <v>120568.531</v>
      </c>
      <c r="K124" s="344">
        <f ca="1">SUMIF(T$3:$AG116,"ok",T124:AG124)</f>
        <v>12309.130999999999</v>
      </c>
      <c r="L124" s="570">
        <f t="shared" ca="1" si="20"/>
        <v>0.10209240253578274</v>
      </c>
      <c r="M124" s="561">
        <f>+'P01 2025'!W101</f>
        <v>87634.98</v>
      </c>
      <c r="N124" s="570">
        <f t="shared" si="21"/>
        <v>0.72684787044473487</v>
      </c>
      <c r="O124" s="429">
        <f t="shared" si="22"/>
        <v>32933.551000000007</v>
      </c>
      <c r="P124" s="228">
        <f t="shared" si="15"/>
        <v>0.27315212955526519</v>
      </c>
      <c r="Q124" s="112">
        <f>+'P01 2024'!X99</f>
        <v>110497.43953599999</v>
      </c>
      <c r="R124" s="425">
        <f ca="1">SUMIF(T$3:$AG117,"SI",T124:AG124)</f>
        <v>12085.000338000002</v>
      </c>
      <c r="S124" s="227">
        <f t="shared" ca="1" si="23"/>
        <v>0.10936905315405718</v>
      </c>
      <c r="T124" s="422">
        <f>+'P01 2025'!G99</f>
        <v>4190.2839999999997</v>
      </c>
      <c r="U124" s="805">
        <f>+'P01 2024'!K98</f>
        <v>5246.8763800000006</v>
      </c>
      <c r="V124" s="805">
        <f>+'P01 2025'!N66</f>
        <v>8118.8469999999998</v>
      </c>
      <c r="W124" s="115">
        <f>+'P01 2024'!Q62</f>
        <v>6838.1239580000001</v>
      </c>
      <c r="X124" s="944">
        <f>+'P01 2024'!AE77</f>
        <v>6308.0910000000003</v>
      </c>
      <c r="Y124" s="112">
        <f>+'P01 2024'!AT69</f>
        <v>5387.0519999999997</v>
      </c>
      <c r="Z124" s="112">
        <f>+'P01 2024'!BI62</f>
        <v>9325.5480000000007</v>
      </c>
      <c r="AA124" s="112">
        <f>+'P01 2024'!BX78</f>
        <v>7105.9340000000002</v>
      </c>
      <c r="AB124" s="112">
        <f>+'P01 2024'!CM79</f>
        <v>8697.2160000000003</v>
      </c>
      <c r="AC124" s="241">
        <f>+'P01 2024'!DB81</f>
        <v>6364.1989999999996</v>
      </c>
      <c r="AD124" s="112">
        <f>+'P01 2024'!DR76</f>
        <v>10287.043</v>
      </c>
      <c r="AE124" s="112">
        <f>'P01 2024'!EG75</f>
        <v>7206.26</v>
      </c>
      <c r="AF124" s="112">
        <f>+'P01 2024'!ET71</f>
        <v>8445.4770000000008</v>
      </c>
      <c r="AG124" s="1086">
        <f>+'P01 2024'!FL87</f>
        <v>9351.259</v>
      </c>
      <c r="AH124" s="915"/>
      <c r="AI124" s="915"/>
      <c r="AJ124" s="915"/>
      <c r="AK124" s="915"/>
      <c r="AL124" s="916"/>
      <c r="BB124" s="201"/>
      <c r="BE124" s="577"/>
      <c r="BF124" s="577"/>
      <c r="BG124" s="198"/>
      <c r="BH124" s="580"/>
      <c r="BI124" s="201"/>
      <c r="BK124" s="201"/>
      <c r="BL124" s="201"/>
      <c r="BQ124" s="202"/>
      <c r="BR124" s="202"/>
    </row>
    <row r="125" spans="1:73" ht="15" hidden="1" customHeight="1" x14ac:dyDescent="0.25">
      <c r="B125" s="233" t="s">
        <v>471</v>
      </c>
      <c r="C125" s="964"/>
      <c r="D125" s="304"/>
      <c r="E125" s="419" t="s">
        <v>163</v>
      </c>
      <c r="F125" s="419"/>
      <c r="G125" s="418" t="str">
        <f>+CONCATENATE($C$80,"",$D$123,"",E125)</f>
        <v>22.08.002</v>
      </c>
      <c r="H125" s="812" t="s">
        <v>69</v>
      </c>
      <c r="I125" s="811">
        <f>+'P01 2025'!F100</f>
        <v>500</v>
      </c>
      <c r="J125" s="561">
        <f>+'P01 2025'!U102</f>
        <v>12775.58</v>
      </c>
      <c r="K125" s="344">
        <f ca="1">SUMIF(T$3:$AG117,"ok",T125:AG125)</f>
        <v>972.05499999999995</v>
      </c>
      <c r="L125" s="570">
        <f t="shared" ca="1" si="20"/>
        <v>7.6086956521739121E-2</v>
      </c>
      <c r="M125" s="561">
        <f>+'P01 2025'!W102</f>
        <v>12775.58</v>
      </c>
      <c r="N125" s="570">
        <f t="shared" si="21"/>
        <v>1</v>
      </c>
      <c r="O125" s="429">
        <f t="shared" si="22"/>
        <v>0</v>
      </c>
      <c r="P125" s="228">
        <f t="shared" si="15"/>
        <v>0</v>
      </c>
      <c r="Q125" s="112">
        <f>+'P01 2024'!X100</f>
        <v>33228.329663999997</v>
      </c>
      <c r="R125" s="425">
        <f ca="1">SUMIF(T$3:$AG118,"SI",T125:AG125)</f>
        <v>12075.969324</v>
      </c>
      <c r="S125" s="227">
        <f t="shared" ca="1" si="23"/>
        <v>0.3634239050265371</v>
      </c>
      <c r="T125" s="422">
        <f>+'P01 2025'!G100</f>
        <v>0</v>
      </c>
      <c r="U125" s="805">
        <f>+'P01 2024'!K99</f>
        <v>0</v>
      </c>
      <c r="V125" s="805">
        <f>+'P01 2025'!N67</f>
        <v>972.05499999999995</v>
      </c>
      <c r="W125" s="115">
        <f>+'P01 2024'!Q63</f>
        <v>12075.969324</v>
      </c>
      <c r="X125" s="944">
        <f>+'P01 2024'!AE78</f>
        <v>2310.252</v>
      </c>
      <c r="Y125" s="112">
        <f>+'P01 2024'!AT70</f>
        <v>833.19</v>
      </c>
      <c r="Z125" s="112">
        <f>+'P01 2024'!BI63</f>
        <v>833.19</v>
      </c>
      <c r="AA125" s="112">
        <f>+'P01 2024'!BX79</f>
        <v>833.19</v>
      </c>
      <c r="AB125" s="112">
        <f>+'P01 2024'!CM80</f>
        <v>833.19</v>
      </c>
      <c r="AC125" s="241">
        <f>+'P01 2024'!DB82</f>
        <v>833.19</v>
      </c>
      <c r="AD125" s="112">
        <f>+'P01 2024'!DR77</f>
        <v>833.19</v>
      </c>
      <c r="AE125" s="112">
        <f>'P01 2024'!EG76</f>
        <v>833.19</v>
      </c>
      <c r="AF125" s="112">
        <f>+'P01 2024'!ET72</f>
        <v>3926.18</v>
      </c>
      <c r="AG125" s="1086">
        <f>+'P01 2024'!FL88</f>
        <v>1944.11</v>
      </c>
      <c r="AH125" s="915"/>
      <c r="AI125" s="915"/>
      <c r="AJ125" s="915"/>
      <c r="AK125" s="915"/>
      <c r="AL125" s="916"/>
      <c r="BB125" s="201"/>
      <c r="BE125" s="577"/>
      <c r="BF125" s="577"/>
      <c r="BG125" s="198"/>
      <c r="BH125" s="580"/>
      <c r="BI125" s="201"/>
      <c r="BK125" s="201"/>
      <c r="BL125" s="201"/>
      <c r="BQ125" s="202"/>
      <c r="BR125" s="202"/>
    </row>
    <row r="126" spans="1:73" s="439" customFormat="1" ht="15" hidden="1" customHeight="1" x14ac:dyDescent="0.25">
      <c r="A126" s="459"/>
      <c r="B126" s="584" t="s">
        <v>828</v>
      </c>
      <c r="C126" s="692"/>
      <c r="D126" s="603"/>
      <c r="E126" s="435"/>
      <c r="F126" s="435"/>
      <c r="G126" s="434" t="s">
        <v>1026</v>
      </c>
      <c r="H126" s="896" t="s">
        <v>996</v>
      </c>
      <c r="I126" s="342">
        <v>0</v>
      </c>
      <c r="J126" s="436">
        <v>0</v>
      </c>
      <c r="K126" s="436">
        <f ca="1">SUMIF(T$3:$AG118,"ok",T126:AG126)</f>
        <v>0</v>
      </c>
      <c r="L126" s="570">
        <f t="shared" ca="1" si="20"/>
        <v>0</v>
      </c>
      <c r="M126" s="436">
        <v>0</v>
      </c>
      <c r="N126" s="570">
        <f t="shared" si="21"/>
        <v>0</v>
      </c>
      <c r="O126" s="436">
        <f t="shared" si="22"/>
        <v>0</v>
      </c>
      <c r="P126" s="693">
        <f t="shared" si="15"/>
        <v>0</v>
      </c>
      <c r="Q126" s="112">
        <v>0</v>
      </c>
      <c r="R126" s="425">
        <f ca="1">SUMIF(T$3:$AG119,"SI",T126:AG126)</f>
        <v>0</v>
      </c>
      <c r="S126" s="227" t="str">
        <f t="shared" ca="1" si="23"/>
        <v>0,00%</v>
      </c>
      <c r="T126" s="422">
        <v>0</v>
      </c>
      <c r="U126" s="808">
        <v>0</v>
      </c>
      <c r="V126" s="808">
        <v>0</v>
      </c>
      <c r="W126" s="241"/>
      <c r="X126" s="946"/>
      <c r="Y126" s="345"/>
      <c r="Z126" s="345"/>
      <c r="AA126" s="345"/>
      <c r="AB126" s="345"/>
      <c r="AC126" s="241"/>
      <c r="AD126" s="345"/>
      <c r="AE126" s="345"/>
      <c r="AF126" s="345"/>
      <c r="AG126" s="1089">
        <f>+'P01 2024'!FL89</f>
        <v>100</v>
      </c>
      <c r="AH126" s="915"/>
      <c r="AI126" s="915"/>
      <c r="AJ126" s="915"/>
      <c r="AK126" s="915"/>
      <c r="AL126" s="916"/>
      <c r="AM126" s="210"/>
      <c r="AN126" s="210"/>
      <c r="AO126" s="210"/>
      <c r="AP126" s="210"/>
      <c r="AQ126" s="210"/>
      <c r="AR126" s="210"/>
      <c r="AS126" s="210"/>
      <c r="AT126" s="210"/>
      <c r="AU126" s="210"/>
      <c r="AV126" s="210"/>
      <c r="AW126" s="210"/>
      <c r="AX126" s="201"/>
      <c r="AY126" s="201"/>
      <c r="AZ126" s="201"/>
      <c r="BA126" s="201"/>
      <c r="BB126" s="201"/>
      <c r="BC126" s="905"/>
      <c r="BD126" s="905"/>
      <c r="BE126" s="577"/>
      <c r="BF126" s="577"/>
      <c r="BG126" s="198"/>
      <c r="BH126" s="580"/>
      <c r="BI126" s="201"/>
      <c r="BJ126" s="258"/>
      <c r="BK126" s="211"/>
      <c r="BL126" s="211"/>
      <c r="BM126" s="258"/>
      <c r="BN126" s="258"/>
      <c r="BO126" s="258"/>
      <c r="BP126" s="258"/>
      <c r="BQ126" s="214"/>
      <c r="BR126" s="214"/>
    </row>
    <row r="127" spans="1:73" ht="15" hidden="1" customHeight="1" x14ac:dyDescent="0.25">
      <c r="B127" s="233" t="s">
        <v>565</v>
      </c>
      <c r="C127" s="964"/>
      <c r="D127" s="304"/>
      <c r="E127" s="419" t="s">
        <v>168</v>
      </c>
      <c r="F127" s="419"/>
      <c r="G127" s="418" t="str">
        <f>+CONCATENATE($C$80,"",$D$123,"",E127)</f>
        <v>22.08.007</v>
      </c>
      <c r="H127" s="812" t="s">
        <v>113</v>
      </c>
      <c r="I127" s="344">
        <f>+'P01 2025'!F101</f>
        <v>48503.898999999998</v>
      </c>
      <c r="J127" s="437">
        <f>+'P01 2025'!U103</f>
        <v>122880.44100000001</v>
      </c>
      <c r="K127" s="436">
        <f ca="1">SUMIF(T$3:$AG118,"ok",T127:AG127)</f>
        <v>16254.615999999998</v>
      </c>
      <c r="L127" s="570">
        <f t="shared" ca="1" si="20"/>
        <v>0.13227992891073687</v>
      </c>
      <c r="M127" s="437">
        <f>+'P01 2025'!W103</f>
        <v>53319.235999999997</v>
      </c>
      <c r="N127" s="570">
        <f t="shared" si="21"/>
        <v>0.43391149613468588</v>
      </c>
      <c r="O127" s="429">
        <f t="shared" si="22"/>
        <v>69561.205000000016</v>
      </c>
      <c r="P127" s="228">
        <f t="shared" si="15"/>
        <v>0.56608850386531417</v>
      </c>
      <c r="Q127" s="112">
        <f>+'P01 2024'!X101</f>
        <v>162192.054646</v>
      </c>
      <c r="R127" s="425">
        <f ca="1">SUMIF(T$3:$AG119,"SI",T127:AG127)</f>
        <v>15258.281088</v>
      </c>
      <c r="S127" s="227">
        <f ca="1">IFERROR(R127/Q127,"0,00%")</f>
        <v>9.4075391802037944E-2</v>
      </c>
      <c r="T127" s="422">
        <f>+'P01 2025'!G101</f>
        <v>6652.2539999999999</v>
      </c>
      <c r="U127" s="805">
        <f>+'P01 2024'!K100</f>
        <v>7523.0253480000001</v>
      </c>
      <c r="V127" s="805">
        <f>+'P01 2025'!N68</f>
        <v>9602.3619999999992</v>
      </c>
      <c r="W127" s="115">
        <f>+'P01 2024'!Q64</f>
        <v>7735.2557400000005</v>
      </c>
      <c r="X127" s="944">
        <f>+'P01 2024'!AE79</f>
        <v>21408.738000000001</v>
      </c>
      <c r="Y127" s="112">
        <f>+'P01 2024'!AT71</f>
        <v>19471.633999999998</v>
      </c>
      <c r="Z127" s="112">
        <f>+'P01 2024'!BI64</f>
        <v>15873.584999999999</v>
      </c>
      <c r="AA127" s="112">
        <f>+'P01 2024'!BX80</f>
        <v>17669.215</v>
      </c>
      <c r="AB127" s="112">
        <f>+'P01 2024'!CM81</f>
        <v>15565.859</v>
      </c>
      <c r="AC127" s="241">
        <f>+'P01 2024'!DB83</f>
        <v>10192.367</v>
      </c>
      <c r="AD127" s="112">
        <f>+'P01 2024'!DR78</f>
        <v>9065.4969999999994</v>
      </c>
      <c r="AE127" s="112">
        <f>'P01 2024'!EG77</f>
        <v>14866.347</v>
      </c>
      <c r="AF127" s="112">
        <f>+'P01 2024'!ET73</f>
        <v>16122.638999999999</v>
      </c>
      <c r="AG127" s="1086">
        <f>+'P01 2024'!FL90</f>
        <v>14959.124</v>
      </c>
      <c r="AH127" s="915"/>
      <c r="AI127" s="915"/>
      <c r="AJ127" s="915"/>
      <c r="AK127" s="915"/>
      <c r="AL127" s="916"/>
      <c r="BB127" s="201"/>
      <c r="BE127" s="577"/>
      <c r="BF127" s="577"/>
      <c r="BG127" s="198"/>
      <c r="BH127" s="580"/>
      <c r="BI127" s="201"/>
      <c r="BK127" s="201"/>
      <c r="BL127" s="201"/>
      <c r="BQ127" s="202"/>
      <c r="BR127" s="202"/>
    </row>
    <row r="128" spans="1:73" ht="15" hidden="1" customHeight="1" x14ac:dyDescent="0.25">
      <c r="B128" s="233" t="s">
        <v>566</v>
      </c>
      <c r="C128" s="964"/>
      <c r="D128" s="304"/>
      <c r="E128" s="419" t="s">
        <v>169</v>
      </c>
      <c r="F128" s="419"/>
      <c r="G128" s="418" t="str">
        <f>+CONCATENATE($C$80,"",$D$123,"",E128)</f>
        <v>22.08.008</v>
      </c>
      <c r="H128" s="812" t="s">
        <v>114</v>
      </c>
      <c r="I128" s="344">
        <f>+'P01 2025'!F102</f>
        <v>41983.249000000003</v>
      </c>
      <c r="J128" s="437">
        <f>+'P01 2025'!U104</f>
        <v>40374.358999999997</v>
      </c>
      <c r="K128" s="436">
        <f ca="1">SUMIF(T$3:$AG119,"ok",T128:AG128)</f>
        <v>4512.18</v>
      </c>
      <c r="L128" s="570">
        <f t="shared" ca="1" si="20"/>
        <v>0.11175855448256158</v>
      </c>
      <c r="M128" s="437">
        <f>+'P01 2025'!W104</f>
        <v>33537.459000000003</v>
      </c>
      <c r="N128" s="570">
        <f t="shared" si="21"/>
        <v>0.8306623270477187</v>
      </c>
      <c r="O128" s="429">
        <f t="shared" si="22"/>
        <v>6836.8999999999942</v>
      </c>
      <c r="P128" s="228">
        <f t="shared" si="15"/>
        <v>0.1693376729522813</v>
      </c>
      <c r="Q128" s="112">
        <f>+'P01 2024'!X102</f>
        <v>80244.421042000002</v>
      </c>
      <c r="R128" s="425">
        <f ca="1">SUMIF(T$3:$AG120,"SI",T128:AG128)</f>
        <v>4889.85592</v>
      </c>
      <c r="S128" s="227">
        <f ca="1">IFERROR(R128/Q128,"0,00%")</f>
        <v>6.0937020374795217E-2</v>
      </c>
      <c r="T128" s="422">
        <f>+'P01 2025'!G102</f>
        <v>0</v>
      </c>
      <c r="U128" s="805">
        <f>+'P01 2024'!K101</f>
        <v>239.66</v>
      </c>
      <c r="V128" s="805">
        <f>+'P01 2025'!N69</f>
        <v>4512.18</v>
      </c>
      <c r="W128" s="115">
        <f>+'P01 2024'!Q65</f>
        <v>4650.1959200000001</v>
      </c>
      <c r="X128" s="944">
        <f>+'P01 2024'!AE80</f>
        <v>3707.94</v>
      </c>
      <c r="Y128" s="112">
        <f>+'P01 2024'!AT72</f>
        <v>8382.94</v>
      </c>
      <c r="Z128" s="112">
        <f>+'P01 2024'!BI65</f>
        <v>6477.94</v>
      </c>
      <c r="AA128" s="112">
        <f>+'P01 2024'!BX81</f>
        <v>6677.94</v>
      </c>
      <c r="AB128" s="112">
        <f>+'P01 2024'!CM82</f>
        <v>5566.8620000000001</v>
      </c>
      <c r="AC128" s="241">
        <f>+'P01 2024'!DB84</f>
        <v>6110</v>
      </c>
      <c r="AD128" s="112">
        <f>+'P01 2024'!DR79</f>
        <v>7084.982</v>
      </c>
      <c r="AE128" s="112">
        <f>'P01 2024'!EG78</f>
        <v>7418.3310000000001</v>
      </c>
      <c r="AF128" s="112">
        <f>+'P01 2024'!ET74</f>
        <v>6584.9949999999999</v>
      </c>
      <c r="AG128" s="1086">
        <f>+'P01 2024'!FL91</f>
        <v>10960.8</v>
      </c>
      <c r="AH128" s="915"/>
      <c r="AI128" s="915"/>
      <c r="AJ128" s="915"/>
      <c r="AK128" s="915"/>
      <c r="AL128" s="916"/>
      <c r="BB128" s="201"/>
      <c r="BE128" s="577"/>
      <c r="BF128" s="577"/>
      <c r="BG128" s="198"/>
      <c r="BH128" s="580"/>
      <c r="BI128" s="201"/>
      <c r="BK128" s="201"/>
      <c r="BL128" s="201"/>
      <c r="BQ128" s="202"/>
      <c r="BR128" s="202"/>
    </row>
    <row r="129" spans="1:70" ht="15" hidden="1" customHeight="1" x14ac:dyDescent="0.25">
      <c r="B129" s="233" t="s">
        <v>567</v>
      </c>
      <c r="C129" s="964"/>
      <c r="D129" s="304"/>
      <c r="E129" s="419" t="s">
        <v>171</v>
      </c>
      <c r="F129" s="419"/>
      <c r="G129" s="418" t="str">
        <f>+CONCATENATE($C$80,"",$D$123,"",E129)</f>
        <v>22.08.010</v>
      </c>
      <c r="H129" s="812" t="s">
        <v>70</v>
      </c>
      <c r="I129" s="344">
        <f>+'P01 2025'!F103</f>
        <v>3000</v>
      </c>
      <c r="J129" s="437">
        <f>+'P01 2025'!U105</f>
        <v>3000</v>
      </c>
      <c r="K129" s="436">
        <f ca="1">SUMIF(T$3:$AG120,"ok",T129:AG129)</f>
        <v>411.88099999999997</v>
      </c>
      <c r="L129" s="570">
        <f t="shared" ca="1" si="20"/>
        <v>0.13729366666666665</v>
      </c>
      <c r="M129" s="437">
        <f>+'P01 2025'!W105</f>
        <v>1374.2619999999999</v>
      </c>
      <c r="N129" s="570">
        <f t="shared" si="21"/>
        <v>0.45808733333333329</v>
      </c>
      <c r="O129" s="429">
        <f t="shared" si="22"/>
        <v>1625.7380000000001</v>
      </c>
      <c r="P129" s="228">
        <f t="shared" si="15"/>
        <v>0.54191266666666671</v>
      </c>
      <c r="Q129" s="112">
        <f>+'P01 2024'!X103</f>
        <v>3126</v>
      </c>
      <c r="R129" s="425">
        <f ca="1">SUMIF(T$3:$AG121,"SI",T129:AG129)</f>
        <v>1565.0579499999999</v>
      </c>
      <c r="S129" s="227">
        <f t="shared" ca="1" si="23"/>
        <v>0.50065833333333332</v>
      </c>
      <c r="T129" s="422">
        <f>+'P01 2025'!G103</f>
        <v>262</v>
      </c>
      <c r="U129" s="805">
        <f>+'P01 2024'!K102</f>
        <v>0</v>
      </c>
      <c r="V129" s="805">
        <f>+'P01 2025'!N70</f>
        <v>149.881</v>
      </c>
      <c r="W129" s="115">
        <f>+'P01 2024'!Q66</f>
        <v>1565.0579499999999</v>
      </c>
      <c r="X129" s="944">
        <f>+'P01 2024'!AE81</f>
        <v>95.879000000000005</v>
      </c>
      <c r="Y129" s="112">
        <f>+'P01 2024'!AT73</f>
        <v>263.76100000000002</v>
      </c>
      <c r="Z129" s="112">
        <f>+'P01 2024'!BI66</f>
        <v>263.762</v>
      </c>
      <c r="AA129" s="112">
        <v>0</v>
      </c>
      <c r="AB129" s="112">
        <v>0</v>
      </c>
      <c r="AC129" s="241">
        <v>0</v>
      </c>
      <c r="AD129" s="112">
        <f>+'P01 2024'!DR80</f>
        <v>131.881</v>
      </c>
      <c r="AE129" s="112">
        <v>0</v>
      </c>
      <c r="AF129" s="112">
        <v>0</v>
      </c>
      <c r="AG129" s="1086">
        <f>+'P01 2024'!FL92</f>
        <v>246.846</v>
      </c>
      <c r="AH129" s="915"/>
      <c r="AI129" s="915"/>
      <c r="AJ129" s="915"/>
      <c r="AK129" s="915"/>
      <c r="AL129" s="916"/>
      <c r="BB129" s="201"/>
      <c r="BE129" s="577"/>
      <c r="BF129" s="577"/>
      <c r="BG129" s="198"/>
      <c r="BH129" s="580"/>
      <c r="BI129" s="201"/>
      <c r="BK129" s="201"/>
      <c r="BL129" s="201"/>
      <c r="BQ129" s="202"/>
      <c r="BR129" s="202"/>
    </row>
    <row r="130" spans="1:70" ht="15" hidden="1" customHeight="1" x14ac:dyDescent="0.25">
      <c r="B130" s="233" t="s">
        <v>388</v>
      </c>
      <c r="C130" s="964"/>
      <c r="D130" s="304"/>
      <c r="E130" s="419" t="s">
        <v>175</v>
      </c>
      <c r="F130" s="419"/>
      <c r="G130" s="418" t="str">
        <f>+CONCATENATE($C$80,"",$D$123,"",E130)</f>
        <v>22.08.999</v>
      </c>
      <c r="H130" s="812" t="s">
        <v>109</v>
      </c>
      <c r="I130" s="344">
        <f>+'P01 2025'!F104</f>
        <v>74314.797000000006</v>
      </c>
      <c r="J130" s="437">
        <f>+'P01 2025'!U106</f>
        <v>143814.717</v>
      </c>
      <c r="K130" s="436">
        <f ca="1">SUMIF(T$3:$AG121,"ok",T130:AG130)</f>
        <v>6385.9570000000003</v>
      </c>
      <c r="L130" s="570">
        <f t="shared" ca="1" si="20"/>
        <v>4.4404057757176547E-2</v>
      </c>
      <c r="M130" s="437">
        <f>+'P01 2025'!W106</f>
        <v>56637.991000000002</v>
      </c>
      <c r="N130" s="570">
        <f t="shared" si="21"/>
        <v>0.39382611308131976</v>
      </c>
      <c r="O130" s="429">
        <f t="shared" si="22"/>
        <v>87176.725999999995</v>
      </c>
      <c r="P130" s="228">
        <f t="shared" si="15"/>
        <v>0.60617388691868024</v>
      </c>
      <c r="Q130" s="112">
        <f>+'P01 2024'!X104</f>
        <v>36309.196476000005</v>
      </c>
      <c r="R130" s="425">
        <f ca="1">SUMIF(T$3:$AG122,"SI",T130:AG130)</f>
        <v>14888.513842</v>
      </c>
      <c r="S130" s="227">
        <f t="shared" ca="1" si="23"/>
        <v>0.41004801226711668</v>
      </c>
      <c r="T130" s="422">
        <f>+'P01 2025'!G104</f>
        <v>297.5</v>
      </c>
      <c r="U130" s="805">
        <f>+'P01 2024'!K103</f>
        <v>12470.552842000001</v>
      </c>
      <c r="V130" s="805">
        <f>+'P01 2025'!N71</f>
        <v>6088.4570000000003</v>
      </c>
      <c r="W130" s="115">
        <f>+'P01 2024'!Q67</f>
        <v>2417.9610000000002</v>
      </c>
      <c r="X130" s="944">
        <f>+'P01 2024'!AE82</f>
        <v>4398.808</v>
      </c>
      <c r="Y130" s="112">
        <f>+'P01 2024'!AT74</f>
        <v>14698.509</v>
      </c>
      <c r="Z130" s="112">
        <f>+'P01 2024'!BI67</f>
        <v>2342.5909999999999</v>
      </c>
      <c r="AA130" s="112">
        <f>+'P01 2024'!BX82</f>
        <v>88036.106</v>
      </c>
      <c r="AB130" s="112">
        <f>+'P01 2024'!CM83</f>
        <v>139157.946</v>
      </c>
      <c r="AC130" s="241">
        <f>+'P01 2024'!DB85</f>
        <v>25123.293000000001</v>
      </c>
      <c r="AD130" s="112">
        <f>+'P01 2024'!DR81</f>
        <v>2546.6</v>
      </c>
      <c r="AE130" s="112">
        <f>'P01 2024'!EG79</f>
        <v>52941.900999999998</v>
      </c>
      <c r="AF130" s="112">
        <f>+'P01 2024'!ET75</f>
        <v>99876.508000000002</v>
      </c>
      <c r="AG130" s="1086">
        <f>+'P01 2024'!FL93</f>
        <v>28464.201000000001</v>
      </c>
      <c r="AH130" s="915"/>
      <c r="AI130" s="915"/>
      <c r="AJ130" s="915"/>
      <c r="AK130" s="915"/>
      <c r="AL130" s="916"/>
      <c r="BB130" s="201"/>
      <c r="BE130" s="577"/>
      <c r="BF130" s="577"/>
      <c r="BG130" s="198"/>
      <c r="BH130" s="580"/>
      <c r="BI130" s="201"/>
      <c r="BK130" s="201"/>
      <c r="BL130" s="201"/>
      <c r="BQ130" s="202"/>
      <c r="BR130" s="202"/>
    </row>
    <row r="131" spans="1:70" s="417" customFormat="1" ht="15" hidden="1" customHeight="1" x14ac:dyDescent="0.25">
      <c r="A131" s="107"/>
      <c r="B131" s="233" t="s">
        <v>389</v>
      </c>
      <c r="C131" s="961"/>
      <c r="D131" s="238" t="s">
        <v>183</v>
      </c>
      <c r="E131" s="424"/>
      <c r="F131" s="424"/>
      <c r="G131" s="424"/>
      <c r="H131" s="898" t="s">
        <v>115</v>
      </c>
      <c r="I131" s="574">
        <f>+'P01 2025'!F105</f>
        <v>1017845.671</v>
      </c>
      <c r="J131" s="432">
        <f>+'P01 2025'!U107</f>
        <v>1043333.13</v>
      </c>
      <c r="K131" s="574">
        <f ca="1">SUMIF(T$3:$AG122,"ok",T131:AG131)</f>
        <v>61908.061000000002</v>
      </c>
      <c r="L131" s="575">
        <f t="shared" ca="1" si="20"/>
        <v>5.9336811244554269E-2</v>
      </c>
      <c r="M131" s="432">
        <f>+'P01 2025'!W107</f>
        <v>979461.51800000004</v>
      </c>
      <c r="N131" s="575">
        <f t="shared" si="21"/>
        <v>0.93878119062508836</v>
      </c>
      <c r="O131" s="574">
        <f t="shared" si="22"/>
        <v>63871.611999999965</v>
      </c>
      <c r="P131" s="691">
        <f t="shared" si="15"/>
        <v>6.1218809374911698E-2</v>
      </c>
      <c r="Q131" s="442">
        <f>+'P01 2024'!X105</f>
        <v>1059984.92</v>
      </c>
      <c r="R131" s="208">
        <f ca="1">SUMIF(T$3:$AG123,"SI",T131:AG131)</f>
        <v>68357.945670000001</v>
      </c>
      <c r="S131" s="562">
        <f t="shared" ca="1" si="23"/>
        <v>6.4489545445608795E-2</v>
      </c>
      <c r="T131" s="806">
        <f>+'P01 2025'!G105</f>
        <v>9220.8619999999992</v>
      </c>
      <c r="U131" s="804">
        <f>+'P01 2024'!K104</f>
        <v>10675.20664</v>
      </c>
      <c r="V131" s="804">
        <f>+'P01 2025'!N72</f>
        <v>52687.199000000001</v>
      </c>
      <c r="W131" s="109">
        <f>+'P01 2024'!Q68</f>
        <v>57682.739029999997</v>
      </c>
      <c r="X131" s="943">
        <f>+'P01 2024'!AE83</f>
        <v>58020.648000000001</v>
      </c>
      <c r="Y131" s="208">
        <f>+'P01 2024'!AT75</f>
        <v>57863.686999999998</v>
      </c>
      <c r="Z131" s="208">
        <f>+'P01 2024'!BI68</f>
        <v>125817.936</v>
      </c>
      <c r="AA131" s="208">
        <f>+'P01 2024'!BX83</f>
        <v>30815.344000000001</v>
      </c>
      <c r="AB131" s="208">
        <f>+'P01 2024'!CM84</f>
        <v>123829.08199999999</v>
      </c>
      <c r="AC131" s="208">
        <f>+'P01 2024'!DB86</f>
        <v>41882.337</v>
      </c>
      <c r="AD131" s="208">
        <f>+'P01 2024'!DR82</f>
        <v>267682.679</v>
      </c>
      <c r="AE131" s="208">
        <f>SUM(AE132:AE135)</f>
        <v>54470.190999999999</v>
      </c>
      <c r="AF131" s="208">
        <f>+'P01 2024'!ET76</f>
        <v>49829.192999999999</v>
      </c>
      <c r="AG131" s="1005">
        <f>+'P01 2024'!FL94</f>
        <v>73359.603000000003</v>
      </c>
      <c r="AH131" s="915"/>
      <c r="AI131" s="915"/>
      <c r="AJ131" s="915"/>
      <c r="AK131" s="915"/>
      <c r="AL131" s="916"/>
      <c r="AM131" s="210"/>
      <c r="AN131" s="210"/>
      <c r="AO131" s="210"/>
      <c r="AP131" s="210"/>
      <c r="AQ131" s="210"/>
      <c r="AR131" s="210"/>
      <c r="AS131" s="210"/>
      <c r="AT131" s="210"/>
      <c r="AU131" s="210"/>
      <c r="AV131" s="210"/>
      <c r="AW131" s="210"/>
      <c r="AX131" s="201"/>
      <c r="AY131" s="201"/>
      <c r="AZ131" s="201"/>
      <c r="BA131" s="201"/>
      <c r="BB131" s="201"/>
      <c r="BC131" s="905"/>
      <c r="BD131" s="905"/>
      <c r="BE131" s="577"/>
      <c r="BF131" s="577"/>
      <c r="BG131" s="198"/>
      <c r="BH131" s="580"/>
      <c r="BI131" s="201"/>
      <c r="BJ131" s="210"/>
      <c r="BK131" s="201"/>
      <c r="BL131" s="201"/>
      <c r="BM131" s="210"/>
      <c r="BN131" s="210"/>
      <c r="BO131" s="210"/>
      <c r="BP131" s="210"/>
      <c r="BQ131" s="202"/>
      <c r="BR131" s="202"/>
    </row>
    <row r="132" spans="1:70" ht="15" hidden="1" customHeight="1" x14ac:dyDescent="0.25">
      <c r="B132" s="233" t="s">
        <v>390</v>
      </c>
      <c r="C132" s="964"/>
      <c r="D132" s="304"/>
      <c r="E132" s="419" t="s">
        <v>163</v>
      </c>
      <c r="F132" s="419"/>
      <c r="G132" s="418" t="str">
        <f>+CONCATENATE($C$80,"",$D$131,"",E132)</f>
        <v>22.09.002</v>
      </c>
      <c r="H132" s="812" t="s">
        <v>71</v>
      </c>
      <c r="I132" s="807">
        <f>+'P01 2025'!F106</f>
        <v>874508.88199999998</v>
      </c>
      <c r="J132" s="430">
        <f>+'P01 2025'!U108</f>
        <v>874508.88199999998</v>
      </c>
      <c r="K132" s="420">
        <f ca="1">SUMIF(T$3:$AG123,"ok",T132:AG132)</f>
        <v>47176.546999999999</v>
      </c>
      <c r="L132" s="564">
        <f t="shared" ca="1" si="20"/>
        <v>5.3946332588535102E-2</v>
      </c>
      <c r="M132" s="430">
        <f>+'P01 2025'!W108</f>
        <v>810795.22199999995</v>
      </c>
      <c r="N132" s="564">
        <f t="shared" si="21"/>
        <v>0.92714349583930233</v>
      </c>
      <c r="O132" s="421">
        <f t="shared" si="22"/>
        <v>63713.660000000033</v>
      </c>
      <c r="P132" s="228">
        <f t="shared" si="15"/>
        <v>7.2856504160697624E-2</v>
      </c>
      <c r="Q132" s="112">
        <f>+'P01 2024'!X106</f>
        <v>918887.70000000007</v>
      </c>
      <c r="R132" s="425">
        <f ca="1">SUMIF(T$3:$AG124,"SI",T132:AG132)</f>
        <v>59034.830935999998</v>
      </c>
      <c r="S132" s="227">
        <f t="shared" ca="1" si="23"/>
        <v>6.4245969269150077E-2</v>
      </c>
      <c r="T132" s="422">
        <f>+'P01 2025'!G106</f>
        <v>9220.8619999999992</v>
      </c>
      <c r="U132" s="805">
        <f>+'P01 2024'!K105</f>
        <v>8965.0147620000007</v>
      </c>
      <c r="V132" s="805">
        <f>+'P01 2025'!N73</f>
        <v>37955.684999999998</v>
      </c>
      <c r="W132" s="115">
        <f>+'P01 2024'!Q69</f>
        <v>50069.816174</v>
      </c>
      <c r="X132" s="944">
        <f>+'P01 2024'!AE84</f>
        <v>50786.046000000002</v>
      </c>
      <c r="Y132" s="112">
        <f>+'P01 2024'!AT76</f>
        <v>33780.29</v>
      </c>
      <c r="Z132" s="112">
        <f>+'P01 2024'!BI69</f>
        <v>110517.238</v>
      </c>
      <c r="AA132" s="112">
        <f>+'P01 2024'!BX84</f>
        <v>16601.111000000001</v>
      </c>
      <c r="AB132" s="112">
        <f>+'P01 2024'!CM85</f>
        <v>109947.038</v>
      </c>
      <c r="AC132" s="241">
        <f>+'P01 2024'!DB87</f>
        <v>28035.554</v>
      </c>
      <c r="AD132" s="112">
        <f>+'P01 2024'!DR83</f>
        <v>251659.42600000001</v>
      </c>
      <c r="AE132" s="112">
        <f>'P01 2024'!EG81</f>
        <v>40621.712</v>
      </c>
      <c r="AF132" s="112">
        <f>+'P01 2024'!ET77</f>
        <v>33601.290999999997</v>
      </c>
      <c r="AG132" s="1086">
        <f>+'P01 2024'!FL95</f>
        <v>46270.148999999998</v>
      </c>
      <c r="AH132" s="915"/>
      <c r="AI132" s="915"/>
      <c r="AJ132" s="915"/>
      <c r="AK132" s="915"/>
      <c r="AL132" s="916"/>
      <c r="BB132" s="201"/>
      <c r="BE132" s="577"/>
      <c r="BF132" s="577"/>
      <c r="BG132" s="198"/>
      <c r="BH132" s="580"/>
      <c r="BI132" s="201"/>
      <c r="BK132" s="201"/>
      <c r="BL132" s="201"/>
      <c r="BQ132" s="202"/>
      <c r="BR132" s="202"/>
    </row>
    <row r="133" spans="1:70" ht="15" hidden="1" customHeight="1" x14ac:dyDescent="0.25">
      <c r="B133" s="233" t="s">
        <v>568</v>
      </c>
      <c r="C133" s="964"/>
      <c r="D133" s="304"/>
      <c r="E133" s="419" t="s">
        <v>178</v>
      </c>
      <c r="F133" s="419"/>
      <c r="G133" s="418" t="str">
        <f>+CONCATENATE($C$80,"",$D$131,"",E133)</f>
        <v>22.09.005</v>
      </c>
      <c r="H133" s="812" t="s">
        <v>116</v>
      </c>
      <c r="I133" s="807">
        <f>+'P01 2025'!F107</f>
        <v>28000</v>
      </c>
      <c r="J133" s="430">
        <f>+'P01 2025'!U109</f>
        <v>28000</v>
      </c>
      <c r="K133" s="420">
        <f ca="1">SUMIF(T$3:$AG124,"ok",T133:AG133)</f>
        <v>1862.6880000000001</v>
      </c>
      <c r="L133" s="564">
        <f t="shared" ca="1" si="20"/>
        <v>6.6524571428571433E-2</v>
      </c>
      <c r="M133" s="430">
        <f>+'P01 2025'!W109</f>
        <v>28000</v>
      </c>
      <c r="N133" s="564">
        <f t="shared" si="21"/>
        <v>1</v>
      </c>
      <c r="O133" s="421">
        <f t="shared" si="22"/>
        <v>0</v>
      </c>
      <c r="P133" s="228">
        <f t="shared" si="15"/>
        <v>0</v>
      </c>
      <c r="Q133" s="112">
        <f>+'P01 2024'!X107</f>
        <v>28134</v>
      </c>
      <c r="R133" s="425">
        <f ca="1">SUMIF(T$3:$AG125,"SI",T133:AG133)</f>
        <v>1710.1918780000001</v>
      </c>
      <c r="S133" s="227">
        <f t="shared" ca="1" si="23"/>
        <v>6.0787370370370374E-2</v>
      </c>
      <c r="T133" s="422">
        <f>+'P01 2025'!G107</f>
        <v>0</v>
      </c>
      <c r="U133" s="805">
        <f>+'P01 2024'!K106</f>
        <v>1710.1918780000001</v>
      </c>
      <c r="V133" s="805">
        <f>+'P01 2025'!N74</f>
        <v>1862.6880000000001</v>
      </c>
      <c r="W133" s="115">
        <v>0</v>
      </c>
      <c r="X133" s="944">
        <f>+'P01 2024'!AE85</f>
        <v>2099.886</v>
      </c>
      <c r="Y133" s="112">
        <v>0</v>
      </c>
      <c r="Z133" s="112">
        <f>+'P01 2024'!BI70</f>
        <v>5922.7150000000001</v>
      </c>
      <c r="AA133" s="112">
        <v>0</v>
      </c>
      <c r="AB133" s="112">
        <f>+'P01 2024'!CM86</f>
        <v>2052.94</v>
      </c>
      <c r="AC133" s="241">
        <f>+'P01 2024'!DB88</f>
        <v>2067.5349999999999</v>
      </c>
      <c r="AD133" s="112">
        <f>+'P01 2024'!DR84</f>
        <v>4140.4870000000001</v>
      </c>
      <c r="AE133" s="112">
        <f>'P01 2024'!EG82</f>
        <v>2061.6179999999999</v>
      </c>
      <c r="AF133" s="112">
        <f>+'P01 2024'!ET78</f>
        <v>1919.971</v>
      </c>
      <c r="AG133" s="1086">
        <f>+'P01 2024'!FL96</f>
        <v>4325.7979999999998</v>
      </c>
      <c r="AH133" s="915"/>
      <c r="AI133" s="915"/>
      <c r="AJ133" s="915"/>
      <c r="AK133" s="915"/>
      <c r="AL133" s="916"/>
      <c r="BB133" s="201"/>
      <c r="BE133" s="577"/>
      <c r="BF133" s="577"/>
      <c r="BG133" s="198"/>
      <c r="BH133" s="580"/>
      <c r="BI133" s="201"/>
      <c r="BK133" s="201"/>
      <c r="BL133" s="201"/>
      <c r="BQ133" s="202"/>
      <c r="BR133" s="202"/>
    </row>
    <row r="134" spans="1:70" ht="15" hidden="1" customHeight="1" x14ac:dyDescent="0.25">
      <c r="B134" s="233" t="s">
        <v>569</v>
      </c>
      <c r="C134" s="964"/>
      <c r="D134" s="304"/>
      <c r="E134" s="419" t="s">
        <v>179</v>
      </c>
      <c r="F134" s="419"/>
      <c r="G134" s="418" t="str">
        <f>+CONCATENATE($C$80,"",$D$131,"",E134)</f>
        <v>22.09.006</v>
      </c>
      <c r="H134" s="812" t="s">
        <v>117</v>
      </c>
      <c r="I134" s="807">
        <f>+'P01 2025'!F108</f>
        <v>112000</v>
      </c>
      <c r="J134" s="430">
        <f>+'P01 2025'!U110</f>
        <v>112000</v>
      </c>
      <c r="K134" s="420">
        <f ca="1">SUMIF(T$3:$AG125,"ok",T134:AG134)</f>
        <v>10479.968000000001</v>
      </c>
      <c r="L134" s="564">
        <f t="shared" ca="1" si="20"/>
        <v>9.3571142857142867E-2</v>
      </c>
      <c r="M134" s="430">
        <f>+'P01 2025'!W110</f>
        <v>112000</v>
      </c>
      <c r="N134" s="564">
        <f t="shared" si="21"/>
        <v>1</v>
      </c>
      <c r="O134" s="421">
        <f t="shared" si="22"/>
        <v>0</v>
      </c>
      <c r="P134" s="228">
        <f t="shared" si="15"/>
        <v>0</v>
      </c>
      <c r="Q134" s="112">
        <f>+'P01 2024'!X108</f>
        <v>83086.995999999999</v>
      </c>
      <c r="R134" s="425">
        <f ca="1">SUMIF(T$3:$AG127,"SI",T134:AG134)</f>
        <v>7612.9228560000001</v>
      </c>
      <c r="S134" s="227">
        <f t="shared" ca="1" si="23"/>
        <v>9.1625924904060796E-2</v>
      </c>
      <c r="T134" s="422">
        <f>+'P01 2025'!G108</f>
        <v>0</v>
      </c>
      <c r="U134" s="805">
        <f>+'P01 2024'!K107</f>
        <v>0</v>
      </c>
      <c r="V134" s="805">
        <f>+'P01 2025'!N75</f>
        <v>10479.968000000001</v>
      </c>
      <c r="W134" s="115">
        <f>+'P01 2024'!Q70</f>
        <v>7612.9228560000001</v>
      </c>
      <c r="X134" s="944">
        <v>0</v>
      </c>
      <c r="Y134" s="112">
        <f>+'P01 2024'!AT77</f>
        <v>21694.539000000001</v>
      </c>
      <c r="Z134" s="112">
        <f>+'P01 2024'!BI71</f>
        <v>9377.9830000000002</v>
      </c>
      <c r="AA134" s="112">
        <f>+'P01 2024'!BX85</f>
        <v>9436.5169999999998</v>
      </c>
      <c r="AB134" s="112">
        <f>+'P01 2024'!CM87</f>
        <v>9440.2459999999992</v>
      </c>
      <c r="AC134" s="241">
        <f>+'P01 2024'!DB89</f>
        <v>9390.39</v>
      </c>
      <c r="AD134" s="112">
        <f>+'P01 2024'!DR85</f>
        <v>9493.9079999999994</v>
      </c>
      <c r="AE134" s="112">
        <f>'P01 2024'!EG83</f>
        <v>9398.0030000000006</v>
      </c>
      <c r="AF134" s="112">
        <f>+'P01 2024'!ET79</f>
        <v>9530.2150000000001</v>
      </c>
      <c r="AG134" s="1086">
        <f>+'P01 2024'!FL97</f>
        <v>20374.797999999999</v>
      </c>
      <c r="AH134" s="915"/>
      <c r="AI134" s="915"/>
      <c r="AJ134" s="915"/>
      <c r="AK134" s="915"/>
      <c r="AL134" s="916"/>
      <c r="BB134" s="201"/>
      <c r="BE134" s="577"/>
      <c r="BF134" s="577"/>
      <c r="BG134" s="198"/>
      <c r="BH134" s="580"/>
      <c r="BI134" s="201"/>
      <c r="BK134" s="201"/>
      <c r="BL134" s="201"/>
      <c r="BQ134" s="202"/>
      <c r="BR134" s="202"/>
    </row>
    <row r="135" spans="1:70" ht="15" hidden="1" customHeight="1" x14ac:dyDescent="0.25">
      <c r="B135" s="233" t="s">
        <v>472</v>
      </c>
      <c r="C135" s="964"/>
      <c r="D135" s="304"/>
      <c r="E135" s="419" t="s">
        <v>175</v>
      </c>
      <c r="F135" s="419"/>
      <c r="G135" s="418" t="str">
        <f>+CONCATENATE($C$80,"",$D$131,"",E135)</f>
        <v>22.09.999</v>
      </c>
      <c r="H135" s="812" t="s">
        <v>109</v>
      </c>
      <c r="I135" s="807">
        <f>+'P01 2025'!F109</f>
        <v>3336.7890000000002</v>
      </c>
      <c r="J135" s="430">
        <f>+'P01 2025'!U111</f>
        <v>28824.248</v>
      </c>
      <c r="K135" s="420">
        <f ca="1">SUMIF(T$3:$AG127,"ok",T135:AG135)</f>
        <v>2388.8580000000002</v>
      </c>
      <c r="L135" s="564">
        <f t="shared" ca="1" si="20"/>
        <v>8.2876680772383041E-2</v>
      </c>
      <c r="M135" s="430">
        <f>+'P01 2025'!W111</f>
        <v>28666.295999999998</v>
      </c>
      <c r="N135" s="564">
        <f t="shared" si="21"/>
        <v>0.99452016926859632</v>
      </c>
      <c r="O135" s="421">
        <f t="shared" si="22"/>
        <v>157.95200000000114</v>
      </c>
      <c r="P135" s="228">
        <f t="shared" si="15"/>
        <v>5.479830731403683E-3</v>
      </c>
      <c r="Q135" s="112">
        <f>+'P01 2024'!X109</f>
        <v>29876.224000000002</v>
      </c>
      <c r="R135" s="425">
        <f ca="1">SUMIF(T$3:$AG128,"SI",T135:AG135)</f>
        <v>0</v>
      </c>
      <c r="S135" s="227">
        <f t="shared" ca="1" si="23"/>
        <v>0</v>
      </c>
      <c r="T135" s="422">
        <f>+'P01 2025'!G109</f>
        <v>0</v>
      </c>
      <c r="U135" s="805">
        <f>+'P01 2024'!K108</f>
        <v>0</v>
      </c>
      <c r="V135" s="805">
        <f>+'P01 2025'!N76</f>
        <v>2388.8580000000002</v>
      </c>
      <c r="W135" s="115">
        <v>0</v>
      </c>
      <c r="X135" s="944">
        <f>+'P01 2024'!AE86</f>
        <v>5134.7160000000003</v>
      </c>
      <c r="Y135" s="112">
        <f>+'P01 2024'!AT78</f>
        <v>2388.8580000000002</v>
      </c>
      <c r="Z135" s="112">
        <v>0</v>
      </c>
      <c r="AA135" s="112">
        <f>+'P01 2024'!BX86</f>
        <v>4777.7160000000003</v>
      </c>
      <c r="AB135" s="112">
        <f>+'P01 2024'!CM88</f>
        <v>2388.8580000000002</v>
      </c>
      <c r="AC135" s="241">
        <f>+'P01 2024'!DB90</f>
        <v>2388.8580000000002</v>
      </c>
      <c r="AD135" s="112">
        <f>+'P01 2024'!DR86</f>
        <v>2388.8580000000002</v>
      </c>
      <c r="AE135" s="112">
        <f>'P01 2024'!EG84</f>
        <v>2388.8580000000002</v>
      </c>
      <c r="AF135" s="112">
        <f>+'P01 2024'!ET80</f>
        <v>4777.7160000000003</v>
      </c>
      <c r="AG135" s="1086">
        <f>+'P01 2024'!FL98</f>
        <v>2388.8580000000002</v>
      </c>
      <c r="AH135" s="915"/>
      <c r="AI135" s="915"/>
      <c r="AJ135" s="915"/>
      <c r="AK135" s="915"/>
      <c r="AL135" s="916"/>
      <c r="BB135" s="201"/>
      <c r="BE135" s="577"/>
      <c r="BF135" s="577"/>
      <c r="BG135" s="198"/>
      <c r="BH135" s="580"/>
      <c r="BI135" s="201"/>
      <c r="BK135" s="201"/>
      <c r="BL135" s="201"/>
      <c r="BQ135" s="202"/>
      <c r="BR135" s="202"/>
    </row>
    <row r="136" spans="1:70" s="417" customFormat="1" ht="15" hidden="1" customHeight="1" x14ac:dyDescent="0.25">
      <c r="A136" s="107"/>
      <c r="B136" s="233" t="s">
        <v>570</v>
      </c>
      <c r="C136" s="961"/>
      <c r="D136" s="238" t="s">
        <v>184</v>
      </c>
      <c r="E136" s="424"/>
      <c r="F136" s="424"/>
      <c r="G136" s="424"/>
      <c r="H136" s="898" t="s">
        <v>118</v>
      </c>
      <c r="I136" s="574">
        <f>+'P01 2025'!F110</f>
        <v>5000</v>
      </c>
      <c r="J136" s="432">
        <f>+'P01 2025'!U112</f>
        <v>5000</v>
      </c>
      <c r="K136" s="574">
        <f ca="1">SUMIF(T$3:$AG128,"ok",T136:AG136)</f>
        <v>0</v>
      </c>
      <c r="L136" s="575">
        <f t="shared" ca="1" si="20"/>
        <v>0</v>
      </c>
      <c r="M136" s="432">
        <f>+'P01 2025'!W112</f>
        <v>4366.098</v>
      </c>
      <c r="N136" s="575">
        <f t="shared" si="21"/>
        <v>0.87321959999999998</v>
      </c>
      <c r="O136" s="574">
        <f t="shared" si="22"/>
        <v>633.90200000000004</v>
      </c>
      <c r="P136" s="691">
        <f t="shared" si="15"/>
        <v>0.12678040000000002</v>
      </c>
      <c r="Q136" s="442">
        <f>+'P01 2024'!X110</f>
        <v>19807.965688</v>
      </c>
      <c r="R136" s="208">
        <f ca="1">SUMIF(T$3:$AG129,"SI",T136:AG136)</f>
        <v>9.9656880000000001</v>
      </c>
      <c r="S136" s="562">
        <f t="shared" ca="1" si="23"/>
        <v>5.0311516876452292E-4</v>
      </c>
      <c r="T136" s="806">
        <f>+'P01 2025'!G110</f>
        <v>0</v>
      </c>
      <c r="U136" s="804">
        <f>+'P01 2024'!K109</f>
        <v>9.9656880000000001</v>
      </c>
      <c r="V136" s="804">
        <v>0</v>
      </c>
      <c r="W136" s="208">
        <v>0</v>
      </c>
      <c r="X136" s="943">
        <f>+'P01 2024'!AE87</f>
        <v>4526.3440000000001</v>
      </c>
      <c r="Y136" s="208">
        <v>0</v>
      </c>
      <c r="Z136" s="208">
        <v>0</v>
      </c>
      <c r="AA136" s="208">
        <v>0</v>
      </c>
      <c r="AB136" s="208">
        <f>+'P01 2024'!CM89</f>
        <v>9518.18</v>
      </c>
      <c r="AC136" s="109">
        <v>0</v>
      </c>
      <c r="AD136" s="208">
        <v>0</v>
      </c>
      <c r="AE136" s="208">
        <f>SUM(AE137:AE138)</f>
        <v>0</v>
      </c>
      <c r="AF136" s="455">
        <f>+'P01 2024'!ET81</f>
        <v>8.141</v>
      </c>
      <c r="AG136" s="1005">
        <v>0</v>
      </c>
      <c r="AH136" s="915"/>
      <c r="AI136" s="915"/>
      <c r="AJ136" s="915"/>
      <c r="AK136" s="915"/>
      <c r="AL136" s="916"/>
      <c r="AM136" s="210"/>
      <c r="AN136" s="210"/>
      <c r="AO136" s="210"/>
      <c r="AP136" s="210"/>
      <c r="AQ136" s="210"/>
      <c r="AR136" s="210"/>
      <c r="AS136" s="210"/>
      <c r="AT136" s="210"/>
      <c r="AU136" s="210"/>
      <c r="AV136" s="210"/>
      <c r="AW136" s="210"/>
      <c r="AX136" s="201"/>
      <c r="AY136" s="201"/>
      <c r="AZ136" s="201"/>
      <c r="BA136" s="201"/>
      <c r="BB136" s="201"/>
      <c r="BC136" s="905"/>
      <c r="BD136" s="905"/>
      <c r="BE136" s="577"/>
      <c r="BF136" s="577"/>
      <c r="BG136" s="198"/>
      <c r="BH136" s="580"/>
      <c r="BI136" s="201"/>
      <c r="BJ136" s="210"/>
      <c r="BK136" s="201"/>
      <c r="BL136" s="201"/>
      <c r="BM136" s="210"/>
      <c r="BN136" s="210"/>
      <c r="BO136" s="210"/>
      <c r="BP136" s="210"/>
      <c r="BQ136" s="202"/>
      <c r="BR136" s="202"/>
    </row>
    <row r="137" spans="1:70" ht="15" hidden="1" customHeight="1" x14ac:dyDescent="0.25">
      <c r="B137" s="233" t="s">
        <v>391</v>
      </c>
      <c r="C137" s="964"/>
      <c r="D137" s="304"/>
      <c r="E137" s="419" t="s">
        <v>163</v>
      </c>
      <c r="F137" s="419"/>
      <c r="G137" s="418" t="str">
        <f>+CONCATENATE($C$80,"",$D$136,"",E137)</f>
        <v>22.10.002</v>
      </c>
      <c r="H137" s="812" t="s">
        <v>119</v>
      </c>
      <c r="I137" s="807">
        <f>+'P01 2025'!F111</f>
        <v>5000</v>
      </c>
      <c r="J137" s="430">
        <f>+'P01 2025'!U113</f>
        <v>5000</v>
      </c>
      <c r="K137" s="420">
        <f ca="1">SUMIF(T$3:$AG129,"ok",T137:AG137)</f>
        <v>0</v>
      </c>
      <c r="L137" s="564">
        <f t="shared" ca="1" si="20"/>
        <v>0</v>
      </c>
      <c r="M137" s="430">
        <f>+'P01 2025'!W113</f>
        <v>4366.098</v>
      </c>
      <c r="N137" s="564">
        <f t="shared" si="21"/>
        <v>0.87321959999999998</v>
      </c>
      <c r="O137" s="421">
        <f t="shared" si="22"/>
        <v>633.90200000000004</v>
      </c>
      <c r="P137" s="228">
        <f t="shared" si="15"/>
        <v>0.12678040000000002</v>
      </c>
      <c r="Q137" s="112">
        <f>+'P01 2024'!X111</f>
        <v>19798</v>
      </c>
      <c r="R137" s="425">
        <f ca="1">SUMIF(T$3:$AG130,"SI",T137:AG137)</f>
        <v>0</v>
      </c>
      <c r="S137" s="227">
        <f t="shared" ca="1" si="23"/>
        <v>0</v>
      </c>
      <c r="T137" s="422">
        <f>+'P01 2025'!G111</f>
        <v>0</v>
      </c>
      <c r="U137" s="805">
        <f>+'P01 2024'!K110</f>
        <v>0</v>
      </c>
      <c r="V137" s="805">
        <v>0</v>
      </c>
      <c r="W137" s="115">
        <v>0</v>
      </c>
      <c r="X137" s="944">
        <f>+'P01 2024'!AE88</f>
        <v>4526.3440000000001</v>
      </c>
      <c r="Y137" s="112">
        <v>0</v>
      </c>
      <c r="Z137" s="112">
        <v>0</v>
      </c>
      <c r="AA137" s="112">
        <v>0</v>
      </c>
      <c r="AB137" s="112">
        <f>+'P01 2024'!CM90</f>
        <v>9488.2890000000007</v>
      </c>
      <c r="AC137" s="241">
        <v>0</v>
      </c>
      <c r="AD137" s="112">
        <v>0</v>
      </c>
      <c r="AE137" s="112">
        <v>0</v>
      </c>
      <c r="AF137" s="112">
        <v>0</v>
      </c>
      <c r="AG137" s="1087">
        <v>0</v>
      </c>
      <c r="AH137" s="915"/>
      <c r="AI137" s="915"/>
      <c r="AJ137" s="915"/>
      <c r="AK137" s="915"/>
      <c r="AL137" s="916"/>
      <c r="BB137" s="201"/>
      <c r="BE137" s="577"/>
      <c r="BF137" s="577"/>
      <c r="BG137" s="198"/>
      <c r="BH137" s="580"/>
      <c r="BI137" s="201"/>
      <c r="BK137" s="201"/>
      <c r="BL137" s="201"/>
      <c r="BQ137" s="202"/>
      <c r="BR137" s="202"/>
    </row>
    <row r="138" spans="1:70" s="439" customFormat="1" ht="15" hidden="1" customHeight="1" x14ac:dyDescent="0.25">
      <c r="A138" s="459"/>
      <c r="B138" s="584" t="s">
        <v>481</v>
      </c>
      <c r="C138" s="692"/>
      <c r="D138" s="603"/>
      <c r="E138" s="435" t="s">
        <v>177</v>
      </c>
      <c r="F138" s="435"/>
      <c r="G138" s="434" t="str">
        <f>+CONCATENATE($C$80,"",$D$136,"",E138)</f>
        <v>22.10.004</v>
      </c>
      <c r="H138" s="896" t="s">
        <v>72</v>
      </c>
      <c r="I138" s="344">
        <v>0</v>
      </c>
      <c r="J138" s="437">
        <v>0</v>
      </c>
      <c r="K138" s="436">
        <f ca="1">SUMIF(T$3:$AG130,"ok",T138:AG138)</f>
        <v>0</v>
      </c>
      <c r="L138" s="570">
        <f t="shared" ca="1" si="20"/>
        <v>0</v>
      </c>
      <c r="M138" s="437">
        <v>0</v>
      </c>
      <c r="N138" s="570">
        <f t="shared" si="21"/>
        <v>0</v>
      </c>
      <c r="O138" s="429">
        <f t="shared" si="22"/>
        <v>0</v>
      </c>
      <c r="P138" s="693">
        <f t="shared" si="15"/>
        <v>0</v>
      </c>
      <c r="Q138" s="112">
        <f>+'P01 2024'!X112</f>
        <v>9.9656880000000001</v>
      </c>
      <c r="R138" s="428">
        <f ca="1">SUMIF(T$3:$AG131,"SI",T138:AG138)</f>
        <v>9.9656880000000001</v>
      </c>
      <c r="S138" s="974">
        <f t="shared" ca="1" si="23"/>
        <v>1</v>
      </c>
      <c r="T138" s="422">
        <v>0</v>
      </c>
      <c r="U138" s="808">
        <f>+'P01 2024'!K111</f>
        <v>9.9656880000000001</v>
      </c>
      <c r="V138" s="805">
        <v>0</v>
      </c>
      <c r="W138" s="438">
        <v>0</v>
      </c>
      <c r="X138" s="946">
        <v>0</v>
      </c>
      <c r="Y138" s="345">
        <v>0</v>
      </c>
      <c r="Z138" s="345">
        <v>0</v>
      </c>
      <c r="AA138" s="456">
        <v>0</v>
      </c>
      <c r="AB138" s="345">
        <f>+'P01 2024'!CM91</f>
        <v>29.890999999999998</v>
      </c>
      <c r="AC138" s="241">
        <v>0</v>
      </c>
      <c r="AD138" s="345">
        <v>0</v>
      </c>
      <c r="AE138" s="345">
        <v>0</v>
      </c>
      <c r="AF138" s="345">
        <f>+'P01 2024'!ET82</f>
        <v>8.141</v>
      </c>
      <c r="AG138" s="1003">
        <v>0</v>
      </c>
      <c r="AH138" s="915"/>
      <c r="AI138" s="915"/>
      <c r="AJ138" s="915"/>
      <c r="AK138" s="915"/>
      <c r="AL138" s="916"/>
      <c r="AM138" s="210"/>
      <c r="AN138" s="210"/>
      <c r="AO138" s="210"/>
      <c r="AP138" s="210"/>
      <c r="AQ138" s="210"/>
      <c r="AR138" s="210"/>
      <c r="AS138" s="210"/>
      <c r="AT138" s="210"/>
      <c r="AU138" s="210"/>
      <c r="AV138" s="210"/>
      <c r="AW138" s="210"/>
      <c r="AX138" s="201"/>
      <c r="AY138" s="201"/>
      <c r="AZ138" s="201"/>
      <c r="BA138" s="201"/>
      <c r="BB138" s="201"/>
      <c r="BC138" s="905"/>
      <c r="BD138" s="905"/>
      <c r="BE138" s="577"/>
      <c r="BF138" s="577"/>
      <c r="BG138" s="198"/>
      <c r="BH138" s="580"/>
      <c r="BI138" s="201"/>
      <c r="BJ138" s="258"/>
      <c r="BK138" s="211"/>
      <c r="BL138" s="211"/>
      <c r="BM138" s="258"/>
      <c r="BN138" s="258"/>
      <c r="BO138" s="258"/>
      <c r="BP138" s="258"/>
      <c r="BQ138" s="214"/>
      <c r="BR138" s="214"/>
    </row>
    <row r="139" spans="1:70" s="417" customFormat="1" ht="15" hidden="1" customHeight="1" x14ac:dyDescent="0.25">
      <c r="A139" s="107"/>
      <c r="B139" s="233" t="s">
        <v>571</v>
      </c>
      <c r="C139" s="47"/>
      <c r="D139" s="47" t="s">
        <v>185</v>
      </c>
      <c r="E139" s="424"/>
      <c r="F139" s="424"/>
      <c r="G139" s="424"/>
      <c r="H139" s="898" t="s">
        <v>73</v>
      </c>
      <c r="I139" s="574">
        <f>+'P01 2025'!F112</f>
        <v>1263759.7879999999</v>
      </c>
      <c r="J139" s="574">
        <f>+'P01 2025'!U114</f>
        <v>1017333.562</v>
      </c>
      <c r="K139" s="574">
        <f ca="1">SUMIF(T$3:$AG131,"ok",T139:AG139)</f>
        <v>1866.674</v>
      </c>
      <c r="L139" s="575">
        <f t="shared" ca="1" si="20"/>
        <v>1.834869181284319E-3</v>
      </c>
      <c r="M139" s="574">
        <f>+'P01 2025'!W114</f>
        <v>875155.49300000002</v>
      </c>
      <c r="N139" s="575">
        <f t="shared" si="21"/>
        <v>0.86024439347062454</v>
      </c>
      <c r="O139" s="574">
        <f t="shared" si="22"/>
        <v>142178.06900000002</v>
      </c>
      <c r="P139" s="691">
        <f t="shared" si="15"/>
        <v>0.13975560652937546</v>
      </c>
      <c r="Q139" s="442">
        <f>+'P01 2024'!X113</f>
        <v>773980.98531000013</v>
      </c>
      <c r="R139" s="208">
        <f ca="1">SUMIF(T$3:$AG132,"SI",T139:AG139)</f>
        <v>27494.826780000003</v>
      </c>
      <c r="S139" s="562">
        <f t="shared" ca="1" si="23"/>
        <v>3.5523904723560602E-2</v>
      </c>
      <c r="T139" s="806">
        <f>+'P01 2025'!G112</f>
        <v>0</v>
      </c>
      <c r="U139" s="804">
        <f>+'P01 2024'!K112</f>
        <v>991.98400000000004</v>
      </c>
      <c r="V139" s="804">
        <f>+'P01 2025'!N77</f>
        <v>1866.674</v>
      </c>
      <c r="W139" s="208">
        <f>+'P01 2024'!Q71</f>
        <v>26502.842780000003</v>
      </c>
      <c r="X139" s="943">
        <f>+'P01 2024'!AE89</f>
        <v>207054.01199999999</v>
      </c>
      <c r="Y139" s="208">
        <f>+'P01 2024'!AT79</f>
        <v>150669.57</v>
      </c>
      <c r="Z139" s="208">
        <f>+'P01 2024'!BI72</f>
        <v>111837.101</v>
      </c>
      <c r="AA139" s="208">
        <f>+'P01 2024'!BX87</f>
        <v>159832.20499999999</v>
      </c>
      <c r="AB139" s="208">
        <f>+'P01 2024'!CM92</f>
        <v>159147.18100000001</v>
      </c>
      <c r="AC139" s="109">
        <f>+'P01 2024'!DB91</f>
        <v>200054.65299999999</v>
      </c>
      <c r="AD139" s="208">
        <f>+'P01 2024'!DR87</f>
        <v>27381</v>
      </c>
      <c r="AE139" s="208">
        <f>SUM(AE140:AE143)</f>
        <v>133317.15700000001</v>
      </c>
      <c r="AF139" s="455">
        <f>+'P01 2024'!ET83</f>
        <v>279321.299</v>
      </c>
      <c r="AG139" s="1005">
        <f>+'P01 2024'!FL99</f>
        <v>416616.41700000002</v>
      </c>
      <c r="AH139" s="915"/>
      <c r="AI139" s="915"/>
      <c r="AJ139" s="915"/>
      <c r="AK139" s="915"/>
      <c r="AL139" s="916"/>
      <c r="AM139" s="210"/>
      <c r="AN139" s="210"/>
      <c r="AO139" s="210"/>
      <c r="AP139" s="210"/>
      <c r="AQ139" s="210"/>
      <c r="AR139" s="210"/>
      <c r="AS139" s="210"/>
      <c r="AT139" s="210"/>
      <c r="AU139" s="210"/>
      <c r="AV139" s="210"/>
      <c r="AW139" s="210"/>
      <c r="AX139" s="201"/>
      <c r="AY139" s="201"/>
      <c r="AZ139" s="201"/>
      <c r="BA139" s="201"/>
      <c r="BB139" s="201"/>
      <c r="BC139" s="905"/>
      <c r="BD139" s="905"/>
      <c r="BE139" s="577"/>
      <c r="BF139" s="577"/>
      <c r="BG139" s="198"/>
      <c r="BH139" s="580"/>
      <c r="BI139" s="201"/>
      <c r="BJ139" s="210"/>
      <c r="BK139" s="201"/>
      <c r="BL139" s="201"/>
      <c r="BM139" s="210"/>
      <c r="BN139" s="210"/>
      <c r="BO139" s="210"/>
      <c r="BP139" s="210"/>
      <c r="BQ139" s="202"/>
      <c r="BR139" s="202"/>
    </row>
    <row r="140" spans="1:70" ht="15" hidden="1" customHeight="1" x14ac:dyDescent="0.25">
      <c r="B140" s="233" t="s">
        <v>392</v>
      </c>
      <c r="C140" s="964"/>
      <c r="D140" s="304"/>
      <c r="E140" s="419" t="s">
        <v>167</v>
      </c>
      <c r="F140" s="419"/>
      <c r="G140" s="418" t="str">
        <f>+CONCATENATE($C$80,"",$D$139,"",E140)</f>
        <v>22.11.001</v>
      </c>
      <c r="H140" s="812" t="s">
        <v>74</v>
      </c>
      <c r="I140" s="807">
        <f>+'P01 2025'!F113</f>
        <v>311405.04100000003</v>
      </c>
      <c r="J140" s="430">
        <f>+'P01 2025'!U115</f>
        <v>288105.04200000002</v>
      </c>
      <c r="K140" s="420">
        <f ca="1">SUMIF(T$3:$AG132,"ok",T140:AG140)</f>
        <v>0</v>
      </c>
      <c r="L140" s="564">
        <f t="shared" ca="1" si="20"/>
        <v>0</v>
      </c>
      <c r="M140" s="430">
        <f>+'P01 2025'!W115</f>
        <v>237405.04300000001</v>
      </c>
      <c r="N140" s="564">
        <f t="shared" si="21"/>
        <v>0.82402252092485073</v>
      </c>
      <c r="O140" s="421">
        <f t="shared" si="22"/>
        <v>50699.999000000011</v>
      </c>
      <c r="P140" s="228">
        <f t="shared" si="15"/>
        <v>0.1759774790751493</v>
      </c>
      <c r="Q140" s="112">
        <f>+'P01 2024'!X114</f>
        <v>170532.14137</v>
      </c>
      <c r="R140" s="425">
        <f ca="1">SUMIF(T$3:$AG133,"SI",T140:AG140)</f>
        <v>0</v>
      </c>
      <c r="S140" s="227">
        <f t="shared" ca="1" si="23"/>
        <v>0</v>
      </c>
      <c r="T140" s="422">
        <f>+'P01 2025'!G113</f>
        <v>0</v>
      </c>
      <c r="U140" s="805">
        <f>+'P01 2024'!K113</f>
        <v>0</v>
      </c>
      <c r="V140" s="805">
        <v>0</v>
      </c>
      <c r="W140" s="112">
        <v>0</v>
      </c>
      <c r="X140" s="944">
        <f>+'P01 2024'!AE90</f>
        <v>200987.666</v>
      </c>
      <c r="Y140" s="112">
        <v>0</v>
      </c>
      <c r="Z140" s="112">
        <f>+'P01 2024'!BI73</f>
        <v>58000.347000000002</v>
      </c>
      <c r="AA140" s="112">
        <f>+'P01 2024'!BX88</f>
        <v>155485.859</v>
      </c>
      <c r="AB140" s="112">
        <f>+'P01 2024'!CM93</f>
        <v>50383.02</v>
      </c>
      <c r="AC140" s="241">
        <f>+'P01 2024'!DB92</f>
        <v>146819.989</v>
      </c>
      <c r="AD140" s="112">
        <f>+'P01 2024'!DR88</f>
        <v>7485</v>
      </c>
      <c r="AE140" s="112">
        <f>'P01 2024'!EG86</f>
        <v>39377</v>
      </c>
      <c r="AF140" s="112">
        <f>+'P01 2024'!ET84</f>
        <v>168657.239</v>
      </c>
      <c r="AG140" s="1086">
        <f>+'P01 2024'!FL100</f>
        <v>175899.959</v>
      </c>
      <c r="AH140" s="915"/>
      <c r="AI140" s="915"/>
      <c r="AJ140" s="915"/>
      <c r="AK140" s="915"/>
      <c r="AL140" s="916"/>
      <c r="BB140" s="201"/>
      <c r="BE140" s="577"/>
      <c r="BF140" s="577"/>
      <c r="BG140" s="198"/>
      <c r="BH140" s="580"/>
      <c r="BI140" s="201"/>
      <c r="BK140" s="201"/>
      <c r="BL140" s="201"/>
      <c r="BQ140" s="202"/>
      <c r="BR140" s="202"/>
    </row>
    <row r="141" spans="1:70" ht="15" hidden="1" customHeight="1" collapsed="1" x14ac:dyDescent="0.25">
      <c r="B141" s="233" t="s">
        <v>393</v>
      </c>
      <c r="C141" s="964"/>
      <c r="D141" s="304"/>
      <c r="E141" s="419" t="s">
        <v>163</v>
      </c>
      <c r="F141" s="419"/>
      <c r="G141" s="418" t="str">
        <f>+CONCATENATE($C$80,"",$D$139,"",E141)</f>
        <v>22.11.002</v>
      </c>
      <c r="H141" s="812" t="s">
        <v>75</v>
      </c>
      <c r="I141" s="807">
        <f>+'P01 2025'!F114</f>
        <v>48560</v>
      </c>
      <c r="J141" s="430">
        <f>+'P01 2025'!U116</f>
        <v>48560</v>
      </c>
      <c r="K141" s="420">
        <f ca="1">SUMIF(T$3:$AG133,"ok",T141:AG141)</f>
        <v>0</v>
      </c>
      <c r="L141" s="564">
        <f t="shared" ca="1" si="20"/>
        <v>0</v>
      </c>
      <c r="M141" s="430">
        <f>+'P01 2025'!W116</f>
        <v>0</v>
      </c>
      <c r="N141" s="564">
        <f t="shared" si="21"/>
        <v>0</v>
      </c>
      <c r="O141" s="421">
        <f t="shared" si="22"/>
        <v>48560</v>
      </c>
      <c r="P141" s="228">
        <f t="shared" si="15"/>
        <v>1</v>
      </c>
      <c r="Q141" s="112">
        <f>+'P01 2024'!X115</f>
        <v>51116.351999999999</v>
      </c>
      <c r="R141" s="425">
        <f ca="1">SUMIF(T$3:$AG134,"SI",T141:AG141)</f>
        <v>0</v>
      </c>
      <c r="S141" s="227">
        <f t="shared" ca="1" si="23"/>
        <v>0</v>
      </c>
      <c r="T141" s="422">
        <f>+'P01 2025'!G114</f>
        <v>0</v>
      </c>
      <c r="U141" s="805">
        <f>+'P01 2024'!K114</f>
        <v>0</v>
      </c>
      <c r="V141" s="805">
        <v>0</v>
      </c>
      <c r="W141" s="112">
        <v>0</v>
      </c>
      <c r="X141" s="944">
        <v>0</v>
      </c>
      <c r="Y141" s="112">
        <v>0</v>
      </c>
      <c r="Z141" s="112">
        <v>0</v>
      </c>
      <c r="AA141" s="112">
        <f>+'P01 2024'!BX89</f>
        <v>1680</v>
      </c>
      <c r="AB141" s="112">
        <v>0</v>
      </c>
      <c r="AC141" s="241">
        <f>+'P01 2024'!DB93</f>
        <v>1400</v>
      </c>
      <c r="AD141" s="112">
        <f>+'P01 2024'!DR89</f>
        <v>975</v>
      </c>
      <c r="AE141" s="112">
        <f>'P01 2024'!EG87</f>
        <v>8270</v>
      </c>
      <c r="AF141" s="112">
        <f>+'P01 2024'!ET85</f>
        <v>9100</v>
      </c>
      <c r="AG141" s="1086">
        <f>+'P01 2024'!FL101</f>
        <v>16715</v>
      </c>
      <c r="AH141" s="915"/>
      <c r="AI141" s="915"/>
      <c r="AJ141" s="915"/>
      <c r="AK141" s="915"/>
      <c r="AL141" s="916"/>
      <c r="BB141" s="201"/>
      <c r="BE141" s="577"/>
      <c r="BF141" s="577"/>
      <c r="BG141" s="198"/>
      <c r="BH141" s="580"/>
      <c r="BI141" s="201"/>
      <c r="BK141" s="201"/>
      <c r="BL141" s="201"/>
      <c r="BQ141" s="202"/>
      <c r="BR141" s="202"/>
    </row>
    <row r="142" spans="1:70" ht="15" hidden="1" customHeight="1" x14ac:dyDescent="0.25">
      <c r="B142" s="233" t="s">
        <v>394</v>
      </c>
      <c r="C142" s="964"/>
      <c r="D142" s="304"/>
      <c r="E142" s="419" t="s">
        <v>164</v>
      </c>
      <c r="F142" s="419"/>
      <c r="G142" s="418" t="str">
        <f>+CONCATENATE($C$80,"",$D$139,"",E142)</f>
        <v>22.11.003</v>
      </c>
      <c r="H142" s="812" t="s">
        <v>206</v>
      </c>
      <c r="I142" s="807">
        <f>+'P01 2025'!F115</f>
        <v>898671.52599999995</v>
      </c>
      <c r="J142" s="430">
        <f>+'P01 2025'!U117</f>
        <v>678144.43200000003</v>
      </c>
      <c r="K142" s="420">
        <f ca="1">SUMIF(T$3:$AG134,"ok",T142:AG142)</f>
        <v>1866.674</v>
      </c>
      <c r="L142" s="564">
        <f t="shared" ref="L142:L174" ca="1" si="24">IFERROR(K142/J142,0)</f>
        <v>2.7526201085139928E-3</v>
      </c>
      <c r="M142" s="430">
        <f>+'P01 2025'!W117</f>
        <v>637750.44999999995</v>
      </c>
      <c r="N142" s="564">
        <f t="shared" ref="N142:N174" si="25">+IFERROR(M142/J142,0%)</f>
        <v>0.94043454448063646</v>
      </c>
      <c r="O142" s="421">
        <f t="shared" si="22"/>
        <v>40393.982000000076</v>
      </c>
      <c r="P142" s="228">
        <f t="shared" ref="P142:P208" si="26">+IFERROR(O142/J142,0)</f>
        <v>5.9565455519363569E-2</v>
      </c>
      <c r="Q142" s="112">
        <f>+'P01 2024'!X116</f>
        <v>451858.68394000002</v>
      </c>
      <c r="R142" s="425">
        <f ca="1">SUMIF(T$3:$AG135,"SI",T142:AG142)</f>
        <v>2621.3385600000001</v>
      </c>
      <c r="S142" s="227">
        <f t="shared" ca="1" si="23"/>
        <v>5.8012353268130932E-3</v>
      </c>
      <c r="T142" s="422">
        <f>+'P01 2025'!G115</f>
        <v>0</v>
      </c>
      <c r="U142" s="805">
        <f>+'P01 2024'!K115</f>
        <v>0</v>
      </c>
      <c r="V142" s="805">
        <f>+'P01 2025'!N78</f>
        <v>1866.674</v>
      </c>
      <c r="W142" s="112">
        <f>+'P01 2024'!Q72</f>
        <v>2621.3385600000001</v>
      </c>
      <c r="X142" s="944">
        <f>+'P01 2024'!AE91</f>
        <v>6066.3459999999995</v>
      </c>
      <c r="Y142" s="112">
        <f>+'P01 2024'!AT80</f>
        <v>145977.57</v>
      </c>
      <c r="Z142" s="112">
        <f>+'P01 2024'!BI74</f>
        <v>53836.754000000001</v>
      </c>
      <c r="AA142" s="112">
        <f>+'P01 2024'!BX90</f>
        <v>2666.346</v>
      </c>
      <c r="AB142" s="112">
        <f>+'P01 2024'!CM94</f>
        <v>98207.161999999997</v>
      </c>
      <c r="AC142" s="241">
        <f>+'P01 2024'!DB94</f>
        <v>49637.074000000001</v>
      </c>
      <c r="AD142" s="112">
        <v>0</v>
      </c>
      <c r="AE142" s="112">
        <f>'P01 2024'!EG88</f>
        <v>60680.156999999999</v>
      </c>
      <c r="AF142" s="112">
        <f>+'P01 2024'!ET86</f>
        <v>100638.24</v>
      </c>
      <c r="AG142" s="1086">
        <f>+'P01 2024'!FL102</f>
        <v>216207.43</v>
      </c>
      <c r="AH142" s="915"/>
      <c r="AI142" s="915"/>
      <c r="AJ142" s="915"/>
      <c r="AK142" s="915"/>
      <c r="AL142" s="916"/>
      <c r="BB142" s="201"/>
      <c r="BE142" s="577"/>
      <c r="BF142" s="577"/>
      <c r="BG142" s="198"/>
      <c r="BH142" s="580"/>
      <c r="BI142" s="201"/>
      <c r="BK142" s="201"/>
      <c r="BL142" s="201"/>
      <c r="BQ142" s="202"/>
      <c r="BR142" s="202"/>
    </row>
    <row r="143" spans="1:70" ht="15" hidden="1" customHeight="1" x14ac:dyDescent="0.25">
      <c r="B143" s="233" t="s">
        <v>395</v>
      </c>
      <c r="C143" s="964"/>
      <c r="D143" s="304"/>
      <c r="E143" s="419" t="s">
        <v>175</v>
      </c>
      <c r="F143" s="419"/>
      <c r="G143" s="418" t="str">
        <f>+CONCATENATE($C$80,"",$D$139,"",E143)</f>
        <v>22.11.999</v>
      </c>
      <c r="H143" s="812" t="s">
        <v>109</v>
      </c>
      <c r="I143" s="807">
        <f>+'P01 2025'!F116</f>
        <v>5123.2209999999995</v>
      </c>
      <c r="J143" s="430">
        <f>+'P01 2025'!U118</f>
        <v>2524.0880000000002</v>
      </c>
      <c r="K143" s="420">
        <f ca="1">SUMIF(T$3:$AG135,"ok",T143:AG143)</f>
        <v>0</v>
      </c>
      <c r="L143" s="564">
        <f t="shared" ca="1" si="24"/>
        <v>0</v>
      </c>
      <c r="M143" s="430">
        <f>+'P01 2025'!W118</f>
        <v>0</v>
      </c>
      <c r="N143" s="564">
        <f t="shared" si="25"/>
        <v>0</v>
      </c>
      <c r="O143" s="421">
        <f t="shared" ref="O143:O163" si="27">J143-M143</f>
        <v>2524.0880000000002</v>
      </c>
      <c r="P143" s="228">
        <f t="shared" si="26"/>
        <v>1</v>
      </c>
      <c r="Q143" s="112">
        <f>+'P01 2024'!X117</f>
        <v>100473.808</v>
      </c>
      <c r="R143" s="425">
        <f ca="1">SUMIF(T$3:$AG136,"SI",T143:AG143)</f>
        <v>24873.488219999999</v>
      </c>
      <c r="S143" s="227">
        <f t="shared" ca="1" si="23"/>
        <v>0.24756191404629552</v>
      </c>
      <c r="T143" s="422">
        <f>+'P01 2025'!G116</f>
        <v>0</v>
      </c>
      <c r="U143" s="805">
        <f>+'P01 2024'!K116</f>
        <v>991.98400000000004</v>
      </c>
      <c r="V143" s="805">
        <v>0</v>
      </c>
      <c r="W143" s="112">
        <f>+'P01 2024'!Q73</f>
        <v>23881.504219999999</v>
      </c>
      <c r="X143" s="944">
        <v>0</v>
      </c>
      <c r="Y143" s="112">
        <f>+'P01 2024'!AT81</f>
        <v>4692</v>
      </c>
      <c r="Z143" s="112">
        <v>0</v>
      </c>
      <c r="AA143" s="427">
        <v>0</v>
      </c>
      <c r="AB143" s="112">
        <f>+'P01 2024'!CM95</f>
        <v>10556.999</v>
      </c>
      <c r="AC143" s="241">
        <f>+'P01 2024'!DB95</f>
        <v>2197.59</v>
      </c>
      <c r="AD143" s="112">
        <f>+'P01 2024'!DR90</f>
        <v>18921</v>
      </c>
      <c r="AE143" s="112">
        <f>'P01 2024'!EG89</f>
        <v>24990</v>
      </c>
      <c r="AF143" s="112">
        <f>+'P01 2024'!ET87</f>
        <v>925.82</v>
      </c>
      <c r="AG143" s="1086">
        <f>+'P01 2024'!FL103</f>
        <v>7794.0280000000002</v>
      </c>
      <c r="AH143" s="915"/>
      <c r="AI143" s="915"/>
      <c r="AJ143" s="915"/>
      <c r="AK143" s="915"/>
      <c r="AL143" s="916"/>
      <c r="BB143" s="201"/>
      <c r="BE143" s="577"/>
      <c r="BF143" s="577"/>
      <c r="BG143" s="198"/>
      <c r="BH143" s="580"/>
      <c r="BI143" s="201"/>
      <c r="BK143" s="201"/>
      <c r="BL143" s="201"/>
      <c r="BQ143" s="202"/>
      <c r="BR143" s="202"/>
    </row>
    <row r="144" spans="1:70" s="417" customFormat="1" ht="15" hidden="1" customHeight="1" x14ac:dyDescent="0.25">
      <c r="A144" s="107"/>
      <c r="B144" s="233" t="s">
        <v>572</v>
      </c>
      <c r="C144" s="47"/>
      <c r="D144" s="47" t="s">
        <v>186</v>
      </c>
      <c r="E144" s="424"/>
      <c r="F144" s="424"/>
      <c r="G144" s="424"/>
      <c r="H144" s="898" t="s">
        <v>76</v>
      </c>
      <c r="I144" s="415">
        <f>+'P01 2025'!F117</f>
        <v>1700</v>
      </c>
      <c r="J144" s="415">
        <f>+'P01 2025'!U119</f>
        <v>3586.768</v>
      </c>
      <c r="K144" s="415">
        <f ca="1">SUMIF(T$3:$AG136,"ok",T144:AG144)</f>
        <v>2244.6080000000002</v>
      </c>
      <c r="L144" s="562">
        <f t="shared" ca="1" si="24"/>
        <v>0.62580239368701851</v>
      </c>
      <c r="M144" s="415">
        <f>+'P01 2025'!W119</f>
        <v>2394.768</v>
      </c>
      <c r="N144" s="562">
        <f t="shared" si="25"/>
        <v>0.66766738188809538</v>
      </c>
      <c r="O144" s="415">
        <f t="shared" si="27"/>
        <v>1192</v>
      </c>
      <c r="P144" s="691">
        <f t="shared" si="26"/>
        <v>0.33233261811190462</v>
      </c>
      <c r="Q144" s="442">
        <f>+'P01 2024'!X118</f>
        <v>8521.5468560000008</v>
      </c>
      <c r="R144" s="208">
        <f ca="1">SUM(R145:R147)</f>
        <v>491.97509000000002</v>
      </c>
      <c r="S144" s="562">
        <f t="shared" ca="1" si="23"/>
        <v>5.7733073386036893E-2</v>
      </c>
      <c r="T144" s="806">
        <f>+'P01 2025'!G117</f>
        <v>0</v>
      </c>
      <c r="U144" s="804">
        <f>+'P01 2024'!K117</f>
        <v>206.78489999999999</v>
      </c>
      <c r="V144" s="804">
        <f>+'P01 2025'!N79</f>
        <v>2244.6080000000002</v>
      </c>
      <c r="W144" s="109">
        <f>+'P01 2024'!Q74</f>
        <v>285.19019000000003</v>
      </c>
      <c r="X144" s="943">
        <f>+'P01 2024'!AE92</f>
        <v>901.65099999999995</v>
      </c>
      <c r="Y144" s="208">
        <f>+'P01 2024'!AT82</f>
        <v>1172.307</v>
      </c>
      <c r="Z144" s="208">
        <f>+'P01 2024'!BI75</f>
        <v>799.02099999999996</v>
      </c>
      <c r="AA144" s="208">
        <f>+'P01 2024'!BX91</f>
        <v>855.53499999999997</v>
      </c>
      <c r="AB144" s="208">
        <f>+'P01 2024'!CM96</f>
        <v>1073.3050000000001</v>
      </c>
      <c r="AC144" s="109">
        <f>+'P01 2024'!DB96</f>
        <v>1294.3900000000001</v>
      </c>
      <c r="AD144" s="208">
        <f>+'P01 2024'!DR91</f>
        <v>913.98</v>
      </c>
      <c r="AE144" s="208">
        <f>SUM(AE145:AE147)</f>
        <v>1148.4760000000001</v>
      </c>
      <c r="AF144" s="455">
        <f>+'P01 2024'!ET88</f>
        <v>1066.5999999999999</v>
      </c>
      <c r="AG144" s="1005">
        <f>+'P01 2024'!FL104</f>
        <v>7814.2219999999998</v>
      </c>
      <c r="AH144" s="915"/>
      <c r="AI144" s="915"/>
      <c r="AJ144" s="915"/>
      <c r="AK144" s="915"/>
      <c r="AL144" s="916"/>
      <c r="AM144" s="210"/>
      <c r="AN144" s="210"/>
      <c r="AO144" s="210"/>
      <c r="AP144" s="210"/>
      <c r="AQ144" s="210"/>
      <c r="AR144" s="210"/>
      <c r="AS144" s="210"/>
      <c r="AT144" s="210"/>
      <c r="AU144" s="210"/>
      <c r="AV144" s="210"/>
      <c r="AW144" s="210"/>
      <c r="AX144" s="201"/>
      <c r="AY144" s="201"/>
      <c r="AZ144" s="201"/>
      <c r="BA144" s="201"/>
      <c r="BB144" s="201"/>
      <c r="BC144" s="905"/>
      <c r="BD144" s="905"/>
      <c r="BE144" s="577"/>
      <c r="BF144" s="577"/>
      <c r="BG144" s="198"/>
      <c r="BH144" s="580"/>
      <c r="BI144" s="201"/>
      <c r="BJ144" s="210"/>
      <c r="BK144" s="201"/>
      <c r="BL144" s="201"/>
      <c r="BM144" s="210"/>
      <c r="BN144" s="210"/>
      <c r="BO144" s="210"/>
      <c r="BP144" s="210"/>
      <c r="BQ144" s="202"/>
      <c r="BR144" s="202"/>
    </row>
    <row r="145" spans="1:70" ht="15" hidden="1" customHeight="1" x14ac:dyDescent="0.25">
      <c r="B145" s="233" t="s">
        <v>396</v>
      </c>
      <c r="C145" s="964"/>
      <c r="D145" s="304"/>
      <c r="E145" s="419" t="s">
        <v>163</v>
      </c>
      <c r="F145" s="419"/>
      <c r="G145" s="418" t="str">
        <f>+CONCATENATE($C$80,"",$D$144,"",E145)</f>
        <v>22.12.002</v>
      </c>
      <c r="H145" s="812" t="s">
        <v>77</v>
      </c>
      <c r="I145" s="807">
        <f>+'P01 2025'!F118</f>
        <v>1700</v>
      </c>
      <c r="J145" s="430">
        <f>+'P01 2025'!U120</f>
        <v>2186.7689999999998</v>
      </c>
      <c r="K145" s="420">
        <f ca="1">SUMIF(T$3:$AG137,"ok",T145:AG145)</f>
        <v>844.60900000000004</v>
      </c>
      <c r="L145" s="564">
        <f t="shared" ca="1" si="24"/>
        <v>0.38623604047798377</v>
      </c>
      <c r="M145" s="430">
        <f>+'P01 2025'!W120</f>
        <v>994.76900000000001</v>
      </c>
      <c r="N145" s="564">
        <f t="shared" si="25"/>
        <v>0.45490355862919224</v>
      </c>
      <c r="O145" s="421">
        <f t="shared" si="27"/>
        <v>1191.9999999999998</v>
      </c>
      <c r="P145" s="228">
        <f t="shared" si="26"/>
        <v>0.5450964413708077</v>
      </c>
      <c r="Q145" s="112">
        <f>+'P01 2024'!X119</f>
        <v>8433.5103600000002</v>
      </c>
      <c r="R145" s="425">
        <f ca="1">SUMIF(T$3:$AG137,"SI",T145:AG145)</f>
        <v>491.97509000000002</v>
      </c>
      <c r="S145" s="227">
        <f t="shared" ca="1" si="23"/>
        <v>5.8335742650347563E-2</v>
      </c>
      <c r="T145" s="422">
        <f>+'P01 2025'!G118</f>
        <v>0</v>
      </c>
      <c r="U145" s="805">
        <f>+'P01 2024'!K118</f>
        <v>206.78489999999999</v>
      </c>
      <c r="V145" s="805">
        <f>+'P01 2025'!N80</f>
        <v>844.60900000000004</v>
      </c>
      <c r="W145" s="112">
        <f>+'P01 2024'!Q75</f>
        <v>285.19019000000003</v>
      </c>
      <c r="X145" s="944">
        <f>+'P01 2024'!AE93</f>
        <v>901.65099999999995</v>
      </c>
      <c r="Y145" s="112">
        <f>+'P01 2024'!AT83</f>
        <v>1172.307</v>
      </c>
      <c r="Z145" s="112">
        <f>+'P01 2024'!BI76</f>
        <v>598.12</v>
      </c>
      <c r="AA145" s="112">
        <f>+'P01 2024'!BX92</f>
        <v>855.53499999999997</v>
      </c>
      <c r="AB145" s="112">
        <f>+'P01 2024'!CM97</f>
        <v>1073.3050000000001</v>
      </c>
      <c r="AC145" s="241">
        <f>+'P01 2024'!DB97</f>
        <v>1294.3900000000001</v>
      </c>
      <c r="AD145" s="112">
        <f>+'P01 2024'!DR92</f>
        <v>913.98</v>
      </c>
      <c r="AE145" s="112">
        <f>'P01 2024'!EG91</f>
        <v>1148.4760000000001</v>
      </c>
      <c r="AF145" s="112">
        <f>+'P01 2024'!ET89</f>
        <v>1066.5999999999999</v>
      </c>
      <c r="AG145" s="1086">
        <f>+'P01 2024'!FL105</f>
        <v>2716.1370000000002</v>
      </c>
      <c r="AH145" s="915"/>
      <c r="AI145" s="915"/>
      <c r="AJ145" s="915"/>
      <c r="AK145" s="915"/>
      <c r="AL145" s="916"/>
      <c r="BB145" s="201"/>
      <c r="BE145" s="577"/>
      <c r="BF145" s="577"/>
      <c r="BG145" s="198"/>
      <c r="BH145" s="580"/>
      <c r="BI145" s="201"/>
      <c r="BK145" s="201"/>
      <c r="BL145" s="201"/>
      <c r="BQ145" s="202"/>
      <c r="BR145" s="202"/>
    </row>
    <row r="146" spans="1:70" ht="15" hidden="1" customHeight="1" x14ac:dyDescent="0.25">
      <c r="B146" s="233" t="s">
        <v>573</v>
      </c>
      <c r="C146" s="964" t="s">
        <v>328</v>
      </c>
      <c r="D146" s="304"/>
      <c r="E146" s="419" t="s">
        <v>164</v>
      </c>
      <c r="F146" s="419"/>
      <c r="G146" s="418" t="s">
        <v>207</v>
      </c>
      <c r="H146" s="896" t="s">
        <v>78</v>
      </c>
      <c r="I146" s="342">
        <v>0</v>
      </c>
      <c r="J146" s="436">
        <v>0</v>
      </c>
      <c r="K146" s="436">
        <f ca="1">SUMIF(T$3:$AG138,"ok",T146:AG146)</f>
        <v>0</v>
      </c>
      <c r="L146" s="564">
        <f t="shared" ca="1" si="24"/>
        <v>0</v>
      </c>
      <c r="M146" s="436">
        <v>0</v>
      </c>
      <c r="N146" s="564">
        <f t="shared" si="25"/>
        <v>0</v>
      </c>
      <c r="O146" s="436">
        <f t="shared" si="27"/>
        <v>0</v>
      </c>
      <c r="P146" s="228">
        <f t="shared" si="26"/>
        <v>0</v>
      </c>
      <c r="Q146" s="112">
        <v>0</v>
      </c>
      <c r="R146" s="425">
        <f ca="1">SUMIF(T$3:$AG138,"SI",T146:AG146)</f>
        <v>0</v>
      </c>
      <c r="S146" s="227" t="str">
        <f t="shared" ca="1" si="23"/>
        <v>0,00%</v>
      </c>
      <c r="T146" s="422">
        <v>0</v>
      </c>
      <c r="U146" s="805">
        <v>0</v>
      </c>
      <c r="V146" s="805">
        <v>0</v>
      </c>
      <c r="W146" s="112">
        <v>0</v>
      </c>
      <c r="X146" s="944">
        <v>0</v>
      </c>
      <c r="Y146" s="112">
        <v>0</v>
      </c>
      <c r="Z146" s="112">
        <v>0</v>
      </c>
      <c r="AA146" s="112">
        <v>0</v>
      </c>
      <c r="AB146" s="427">
        <v>0</v>
      </c>
      <c r="AC146" s="241">
        <v>0</v>
      </c>
      <c r="AD146" s="112">
        <v>0</v>
      </c>
      <c r="AE146" s="112">
        <v>0</v>
      </c>
      <c r="AF146" s="112">
        <v>0</v>
      </c>
      <c r="AG146" s="1007">
        <v>0</v>
      </c>
      <c r="AH146" s="915"/>
      <c r="AI146" s="915"/>
      <c r="AJ146" s="915"/>
      <c r="AK146" s="915"/>
      <c r="AL146" s="916"/>
      <c r="BB146" s="201"/>
      <c r="BE146" s="577"/>
      <c r="BF146" s="577"/>
      <c r="BG146" s="198"/>
      <c r="BH146" s="580"/>
      <c r="BI146" s="201"/>
      <c r="BK146" s="201"/>
      <c r="BL146" s="201"/>
      <c r="BQ146" s="202"/>
      <c r="BR146" s="202"/>
    </row>
    <row r="147" spans="1:70" ht="15" hidden="1" customHeight="1" x14ac:dyDescent="0.25">
      <c r="B147" s="233" t="s">
        <v>397</v>
      </c>
      <c r="C147" s="964"/>
      <c r="D147" s="304"/>
      <c r="E147" s="419" t="s">
        <v>175</v>
      </c>
      <c r="F147" s="419"/>
      <c r="G147" s="418" t="str">
        <f>+CONCATENATE($C$80,"",$D$144,"",E147)</f>
        <v>22.12.999</v>
      </c>
      <c r="H147" s="896" t="s">
        <v>51</v>
      </c>
      <c r="I147" s="344">
        <v>0</v>
      </c>
      <c r="J147" s="436">
        <f>+'P01 2025'!U121</f>
        <v>1399.999</v>
      </c>
      <c r="K147" s="436">
        <f ca="1">SUMIF(T$3:$AG139,"ok",T147:AG147)</f>
        <v>1399.999</v>
      </c>
      <c r="L147" s="564">
        <f t="shared" ca="1" si="24"/>
        <v>1</v>
      </c>
      <c r="M147" s="437">
        <f>+'P01 2025'!W121</f>
        <v>1399.999</v>
      </c>
      <c r="N147" s="564">
        <f t="shared" si="25"/>
        <v>1</v>
      </c>
      <c r="O147" s="429">
        <f t="shared" si="27"/>
        <v>0</v>
      </c>
      <c r="P147" s="228">
        <f t="shared" si="26"/>
        <v>0</v>
      </c>
      <c r="Q147" s="112">
        <f>+'P01 2024'!X120</f>
        <v>88.036496</v>
      </c>
      <c r="R147" s="425">
        <f ca="1">SUMIF(T$3:$AG139,"SI",T147:AG147)</f>
        <v>0</v>
      </c>
      <c r="S147" s="227">
        <f t="shared" ca="1" si="23"/>
        <v>0</v>
      </c>
      <c r="T147" s="422">
        <v>0</v>
      </c>
      <c r="U147" s="805">
        <f>+'P01 2024'!K119</f>
        <v>0</v>
      </c>
      <c r="V147" s="805">
        <f>+'P01 2025'!N81</f>
        <v>1399.999</v>
      </c>
      <c r="W147" s="112">
        <v>0</v>
      </c>
      <c r="X147" s="944">
        <v>0</v>
      </c>
      <c r="Y147" s="112">
        <v>0</v>
      </c>
      <c r="Z147" s="112">
        <f>+'P01 2024'!BI77</f>
        <v>200.90100000000001</v>
      </c>
      <c r="AA147" s="112">
        <v>0</v>
      </c>
      <c r="AB147" s="112">
        <v>0</v>
      </c>
      <c r="AC147" s="241">
        <v>0</v>
      </c>
      <c r="AD147" s="112">
        <v>0</v>
      </c>
      <c r="AE147" s="112">
        <v>0</v>
      </c>
      <c r="AF147" s="112">
        <v>0</v>
      </c>
      <c r="AG147" s="1007">
        <f>+'P01 2024'!FL106</f>
        <v>5098.085</v>
      </c>
      <c r="AH147" s="915"/>
      <c r="AI147" s="915"/>
      <c r="AJ147" s="915"/>
      <c r="AK147" s="915"/>
      <c r="AL147" s="916"/>
      <c r="BB147" s="201"/>
      <c r="BE147" s="577"/>
      <c r="BF147" s="577"/>
      <c r="BG147" s="198"/>
      <c r="BH147" s="580"/>
      <c r="BI147" s="201"/>
      <c r="BK147" s="201"/>
      <c r="BL147" s="201"/>
      <c r="BQ147" s="202"/>
      <c r="BR147" s="202"/>
    </row>
    <row r="148" spans="1:70" ht="15" customHeight="1" x14ac:dyDescent="0.25">
      <c r="B148" s="233" t="s">
        <v>574</v>
      </c>
      <c r="C148" s="47" t="s">
        <v>834</v>
      </c>
      <c r="D148" s="47"/>
      <c r="E148" s="424"/>
      <c r="F148" s="424"/>
      <c r="G148" s="424"/>
      <c r="H148" s="898" t="s">
        <v>273</v>
      </c>
      <c r="I148" s="415">
        <f>+'P01 2025'!F119</f>
        <v>10</v>
      </c>
      <c r="J148" s="415">
        <f>+'P01 2025'!U122</f>
        <v>10</v>
      </c>
      <c r="K148" s="415">
        <f ca="1">SUMIF(T$3:$AG140,"ok",T148:AG148)</f>
        <v>0</v>
      </c>
      <c r="L148" s="562">
        <f ca="1">IFERROR(K148/J148,0)</f>
        <v>0</v>
      </c>
      <c r="M148" s="415">
        <f>+'P01 2025'!W122</f>
        <v>0</v>
      </c>
      <c r="N148" s="562">
        <f t="shared" si="25"/>
        <v>0</v>
      </c>
      <c r="O148" s="415">
        <f t="shared" si="27"/>
        <v>10</v>
      </c>
      <c r="P148" s="691">
        <f t="shared" si="26"/>
        <v>1</v>
      </c>
      <c r="Q148" s="442">
        <f>+'P01 2024'!X121</f>
        <v>10.42</v>
      </c>
      <c r="R148" s="208">
        <f ca="1">SUMIF(T$3:$AG141,"SI",T148:AG148)</f>
        <v>0</v>
      </c>
      <c r="S148" s="562">
        <f t="shared" ca="1" si="23"/>
        <v>0</v>
      </c>
      <c r="T148" s="806">
        <f>+'P01 2025'!G119</f>
        <v>0</v>
      </c>
      <c r="U148" s="804">
        <f>+'P01 2024'!K120</f>
        <v>0</v>
      </c>
      <c r="V148" s="804">
        <v>0</v>
      </c>
      <c r="W148" s="109">
        <v>0</v>
      </c>
      <c r="X148" s="943">
        <v>0</v>
      </c>
      <c r="Y148" s="208">
        <v>0</v>
      </c>
      <c r="Z148" s="208">
        <v>0</v>
      </c>
      <c r="AA148" s="208">
        <v>0</v>
      </c>
      <c r="AB148" s="208">
        <f>+'P01 2024'!CM98</f>
        <v>204961.52299999999</v>
      </c>
      <c r="AC148" s="109">
        <v>0</v>
      </c>
      <c r="AD148" s="208">
        <v>0</v>
      </c>
      <c r="AE148" s="208">
        <f>SUM(AE149:AE152)</f>
        <v>0</v>
      </c>
      <c r="AF148" s="208">
        <v>0</v>
      </c>
      <c r="AG148" s="1005">
        <f>+'P01 2024'!FL107</f>
        <v>380154.78</v>
      </c>
      <c r="AH148" s="915"/>
      <c r="AI148" s="915"/>
      <c r="AJ148" s="915"/>
      <c r="AK148" s="915"/>
      <c r="AL148" s="916"/>
      <c r="BB148" s="201"/>
      <c r="BE148" s="577"/>
      <c r="BF148" s="577"/>
      <c r="BG148" s="198"/>
      <c r="BH148" s="580"/>
      <c r="BI148" s="201"/>
      <c r="BK148" s="201"/>
      <c r="BL148" s="201"/>
      <c r="BQ148" s="202"/>
      <c r="BR148" s="202"/>
    </row>
    <row r="149" spans="1:70" s="439" customFormat="1" ht="15" customHeight="1" x14ac:dyDescent="0.25">
      <c r="A149" s="459"/>
      <c r="B149" s="584" t="s">
        <v>575</v>
      </c>
      <c r="C149" s="692"/>
      <c r="D149" s="354" t="s">
        <v>165</v>
      </c>
      <c r="E149" s="435"/>
      <c r="F149" s="435"/>
      <c r="G149" s="434" t="s">
        <v>338</v>
      </c>
      <c r="H149" s="896" t="s">
        <v>851</v>
      </c>
      <c r="I149" s="451">
        <f>+'P01 2025'!F120</f>
        <v>10</v>
      </c>
      <c r="J149" s="436">
        <f>+'P01 2025'!U123</f>
        <v>10</v>
      </c>
      <c r="K149" s="436">
        <f ca="1">SUMIF(T$3:$AG141,"ok",T149:AG149)</f>
        <v>0</v>
      </c>
      <c r="L149" s="570">
        <f ca="1">IFERROR(K149/J149,0)</f>
        <v>0</v>
      </c>
      <c r="M149" s="437">
        <f>+'P01 2025'!W123</f>
        <v>0</v>
      </c>
      <c r="N149" s="570">
        <f t="shared" si="25"/>
        <v>0</v>
      </c>
      <c r="O149" s="429">
        <f t="shared" si="27"/>
        <v>10</v>
      </c>
      <c r="P149" s="693">
        <f t="shared" si="26"/>
        <v>1</v>
      </c>
      <c r="Q149" s="112">
        <f>+'P01 2024'!X122</f>
        <v>10.42</v>
      </c>
      <c r="R149" s="428">
        <f ca="1">SUMIF(T$3:$AG142,"SI",T149:AG149)</f>
        <v>0</v>
      </c>
      <c r="S149" s="974">
        <f t="shared" ca="1" si="23"/>
        <v>0</v>
      </c>
      <c r="T149" s="452">
        <f>+'P01 2025'!G120</f>
        <v>0</v>
      </c>
      <c r="U149" s="808">
        <f>+'P01 2024'!K121</f>
        <v>0</v>
      </c>
      <c r="V149" s="808">
        <v>0</v>
      </c>
      <c r="W149" s="345">
        <v>0</v>
      </c>
      <c r="X149" s="946">
        <v>0</v>
      </c>
      <c r="Y149" s="241">
        <v>0</v>
      </c>
      <c r="Z149" s="241">
        <v>0</v>
      </c>
      <c r="AA149" s="241">
        <v>0</v>
      </c>
      <c r="AB149" s="345">
        <f>+'P01 2024'!CM99</f>
        <v>204961.52299999999</v>
      </c>
      <c r="AC149" s="241">
        <v>0</v>
      </c>
      <c r="AD149" s="345">
        <v>0</v>
      </c>
      <c r="AE149" s="345">
        <v>0</v>
      </c>
      <c r="AF149" s="345">
        <v>0</v>
      </c>
      <c r="AG149" s="1002">
        <f>+'P01 2024'!FL108</f>
        <v>380154.78</v>
      </c>
      <c r="AH149" s="915"/>
      <c r="AI149" s="915"/>
      <c r="AJ149" s="915"/>
      <c r="AK149" s="915"/>
      <c r="AL149" s="916"/>
      <c r="AM149" s="210"/>
      <c r="AN149" s="210"/>
      <c r="AO149" s="210"/>
      <c r="AP149" s="210"/>
      <c r="AQ149" s="210"/>
      <c r="AR149" s="210"/>
      <c r="AS149" s="210"/>
      <c r="AT149" s="210"/>
      <c r="AU149" s="210"/>
      <c r="AV149" s="210"/>
      <c r="AW149" s="210"/>
      <c r="AX149" s="201"/>
      <c r="AY149" s="201"/>
      <c r="AZ149" s="201"/>
      <c r="BA149" s="201"/>
      <c r="BB149" s="201"/>
      <c r="BC149" s="905"/>
      <c r="BD149" s="905"/>
      <c r="BE149" s="577"/>
      <c r="BF149" s="577"/>
      <c r="BG149" s="213"/>
      <c r="BH149" s="336"/>
      <c r="BI149" s="211"/>
      <c r="BJ149" s="258"/>
      <c r="BK149" s="211"/>
      <c r="BL149" s="211"/>
      <c r="BM149" s="258"/>
      <c r="BN149" s="258"/>
      <c r="BO149" s="258"/>
      <c r="BP149" s="258"/>
      <c r="BQ149" s="214"/>
      <c r="BR149" s="214"/>
    </row>
    <row r="150" spans="1:70" s="439" customFormat="1" ht="15" hidden="1" customHeight="1" x14ac:dyDescent="0.25">
      <c r="A150" s="459"/>
      <c r="B150" s="584" t="s">
        <v>1014</v>
      </c>
      <c r="C150" s="692"/>
      <c r="D150" s="603"/>
      <c r="E150" s="435"/>
      <c r="F150" s="435"/>
      <c r="G150" s="434" t="s">
        <v>1027</v>
      </c>
      <c r="H150" s="896" t="s">
        <v>1017</v>
      </c>
      <c r="I150" s="451">
        <f>+'P01 2025'!F121</f>
        <v>1</v>
      </c>
      <c r="J150" s="436">
        <f>+'P01 2025'!U124</f>
        <v>1</v>
      </c>
      <c r="K150" s="436">
        <v>0</v>
      </c>
      <c r="L150" s="570">
        <f>IFERROR(K150/J150,0)</f>
        <v>0</v>
      </c>
      <c r="M150" s="437">
        <f>+'P01 2025'!W124</f>
        <v>0</v>
      </c>
      <c r="N150" s="570">
        <f t="shared" si="25"/>
        <v>0</v>
      </c>
      <c r="O150" s="429">
        <f t="shared" si="27"/>
        <v>1</v>
      </c>
      <c r="P150" s="693">
        <f t="shared" si="26"/>
        <v>1</v>
      </c>
      <c r="Q150" s="345">
        <v>0</v>
      </c>
      <c r="R150" s="428">
        <f ca="1">SUMIF(T$3:$AG143,"SI",T150:AG150)</f>
        <v>0</v>
      </c>
      <c r="S150" s="974" t="str">
        <f t="shared" ref="S150:S167" ca="1" si="28">IFERROR(R150/Q150,"0,00%")</f>
        <v>0,00%</v>
      </c>
      <c r="T150" s="452">
        <f>+'P01 2025'!G121</f>
        <v>0</v>
      </c>
      <c r="U150" s="808">
        <v>0</v>
      </c>
      <c r="V150" s="808">
        <v>0</v>
      </c>
      <c r="W150" s="345"/>
      <c r="X150" s="946"/>
      <c r="Y150" s="241"/>
      <c r="Z150" s="241"/>
      <c r="AA150" s="241"/>
      <c r="AB150" s="345"/>
      <c r="AC150" s="241"/>
      <c r="AD150" s="345"/>
      <c r="AE150" s="345"/>
      <c r="AF150" s="345"/>
      <c r="AG150" s="1002"/>
      <c r="AH150" s="915"/>
      <c r="AI150" s="915"/>
      <c r="AJ150" s="915"/>
      <c r="AK150" s="915"/>
      <c r="AL150" s="916"/>
      <c r="AM150" s="210"/>
      <c r="AN150" s="210"/>
      <c r="AO150" s="210"/>
      <c r="AP150" s="210"/>
      <c r="AQ150" s="210"/>
      <c r="AR150" s="210"/>
      <c r="AS150" s="210"/>
      <c r="AT150" s="210"/>
      <c r="AU150" s="210"/>
      <c r="AV150" s="210"/>
      <c r="AW150" s="210"/>
      <c r="AX150" s="201"/>
      <c r="AY150" s="201"/>
      <c r="AZ150" s="201"/>
      <c r="BA150" s="201"/>
      <c r="BB150" s="201"/>
      <c r="BC150" s="905"/>
      <c r="BD150" s="905"/>
      <c r="BE150" s="577"/>
      <c r="BF150" s="577"/>
      <c r="BG150" s="213"/>
      <c r="BH150" s="336"/>
      <c r="BI150" s="211"/>
      <c r="BJ150" s="258"/>
      <c r="BK150" s="211"/>
      <c r="BL150" s="211"/>
      <c r="BM150" s="258"/>
      <c r="BN150" s="258"/>
      <c r="BO150" s="258"/>
      <c r="BP150" s="258"/>
      <c r="BQ150" s="214"/>
      <c r="BR150" s="214"/>
    </row>
    <row r="151" spans="1:70" s="439" customFormat="1" ht="15" hidden="1" customHeight="1" x14ac:dyDescent="0.25">
      <c r="A151" s="459"/>
      <c r="B151" s="584" t="s">
        <v>576</v>
      </c>
      <c r="C151" s="692"/>
      <c r="D151" s="603"/>
      <c r="E151" s="435" t="s">
        <v>164</v>
      </c>
      <c r="F151" s="435"/>
      <c r="G151" s="434" t="s">
        <v>275</v>
      </c>
      <c r="H151" s="896" t="s">
        <v>274</v>
      </c>
      <c r="I151" s="558">
        <f>+'P01 2025'!F122</f>
        <v>8</v>
      </c>
      <c r="J151" s="436">
        <f>+'P01 2025'!U125</f>
        <v>8</v>
      </c>
      <c r="K151" s="333">
        <f ca="1">SUMIF(T$3:$AG142,"ok",T151:AG151)</f>
        <v>0</v>
      </c>
      <c r="L151" s="571">
        <f t="shared" ca="1" si="24"/>
        <v>0</v>
      </c>
      <c r="M151" s="437">
        <f>+'P01 2025'!W125</f>
        <v>0</v>
      </c>
      <c r="N151" s="571">
        <f t="shared" si="25"/>
        <v>0</v>
      </c>
      <c r="O151" s="429">
        <f t="shared" si="27"/>
        <v>8</v>
      </c>
      <c r="P151" s="693">
        <f t="shared" si="26"/>
        <v>1</v>
      </c>
      <c r="Q151" s="112">
        <f>+'P01 2024'!X123</f>
        <v>10.42</v>
      </c>
      <c r="R151" s="425">
        <f ca="1">SUMIF(T$3:$AG144,"SI",T151:AG151)</f>
        <v>0</v>
      </c>
      <c r="S151" s="974">
        <f t="shared" ca="1" si="28"/>
        <v>0</v>
      </c>
      <c r="T151" s="422">
        <f>+'P01 2025'!G122</f>
        <v>0</v>
      </c>
      <c r="U151" s="808">
        <f>+'P01 2024'!K122</f>
        <v>0</v>
      </c>
      <c r="V151" s="808">
        <v>0</v>
      </c>
      <c r="W151" s="345">
        <v>0</v>
      </c>
      <c r="X151" s="946">
        <v>0</v>
      </c>
      <c r="Y151" s="241">
        <v>0</v>
      </c>
      <c r="Z151" s="241">
        <v>0</v>
      </c>
      <c r="AA151" s="241">
        <v>0</v>
      </c>
      <c r="AB151" s="345">
        <f>+'P01 2024'!CM100</f>
        <v>204961.52299999999</v>
      </c>
      <c r="AC151" s="241">
        <v>0</v>
      </c>
      <c r="AD151" s="345">
        <v>0</v>
      </c>
      <c r="AE151" s="345">
        <v>0</v>
      </c>
      <c r="AF151" s="345">
        <v>0</v>
      </c>
      <c r="AG151" s="1007">
        <f>+'P01 2024'!FL109</f>
        <v>380154.78</v>
      </c>
      <c r="AH151" s="915"/>
      <c r="AI151" s="915"/>
      <c r="AJ151" s="915"/>
      <c r="AK151" s="915"/>
      <c r="AL151" s="916"/>
      <c r="AM151" s="210"/>
      <c r="AN151" s="210"/>
      <c r="AO151" s="210"/>
      <c r="AP151" s="210"/>
      <c r="AQ151" s="210"/>
      <c r="AR151" s="210"/>
      <c r="AS151" s="210"/>
      <c r="AT151" s="210"/>
      <c r="AU151" s="210"/>
      <c r="AV151" s="210"/>
      <c r="AW151" s="210"/>
      <c r="AX151" s="201"/>
      <c r="AY151" s="201"/>
      <c r="AZ151" s="201"/>
      <c r="BA151" s="201"/>
      <c r="BB151" s="201"/>
      <c r="BC151" s="905"/>
      <c r="BD151" s="905"/>
      <c r="BE151" s="577"/>
      <c r="BF151" s="577"/>
      <c r="BG151" s="198"/>
      <c r="BH151" s="580"/>
      <c r="BI151" s="201"/>
      <c r="BJ151" s="258"/>
      <c r="BK151" s="211"/>
      <c r="BL151" s="211"/>
      <c r="BM151" s="258"/>
      <c r="BN151" s="258"/>
      <c r="BO151" s="258"/>
      <c r="BP151" s="258"/>
      <c r="BQ151" s="214"/>
      <c r="BR151" s="214"/>
    </row>
    <row r="152" spans="1:70" ht="15" hidden="1" customHeight="1" x14ac:dyDescent="0.25">
      <c r="B152" s="233" t="s">
        <v>953</v>
      </c>
      <c r="C152" s="695"/>
      <c r="D152" s="604"/>
      <c r="E152" s="447"/>
      <c r="F152" s="447"/>
      <c r="G152" s="446" t="s">
        <v>778</v>
      </c>
      <c r="H152" s="812" t="s">
        <v>777</v>
      </c>
      <c r="I152" s="558">
        <f>+'P01 2025'!F123</f>
        <v>1</v>
      </c>
      <c r="J152" s="436">
        <f>+'P01 2025'!U126</f>
        <v>1</v>
      </c>
      <c r="K152" s="333">
        <f ca="1">SUMIF(T$3:$AG143,"ok",T152:AG152)</f>
        <v>0</v>
      </c>
      <c r="L152" s="571">
        <f t="shared" ca="1" si="24"/>
        <v>0</v>
      </c>
      <c r="M152" s="437">
        <f>+'P01 2025'!W126</f>
        <v>0</v>
      </c>
      <c r="N152" s="571">
        <f t="shared" si="25"/>
        <v>0</v>
      </c>
      <c r="O152" s="429">
        <f t="shared" si="27"/>
        <v>1</v>
      </c>
      <c r="P152" s="228">
        <f t="shared" si="26"/>
        <v>1</v>
      </c>
      <c r="Q152" s="112">
        <v>0</v>
      </c>
      <c r="R152" s="441">
        <f ca="1">SUMIF(T$3:$AG144,"SI",T152:AG152)</f>
        <v>0</v>
      </c>
      <c r="S152" s="976" t="str">
        <f t="shared" ca="1" si="28"/>
        <v>0,00%</v>
      </c>
      <c r="T152" s="422">
        <f>+'P01 2025'!G123</f>
        <v>0</v>
      </c>
      <c r="U152" s="813">
        <v>0</v>
      </c>
      <c r="V152" s="808">
        <v>0</v>
      </c>
      <c r="W152" s="449">
        <v>0</v>
      </c>
      <c r="X152" s="949">
        <v>0</v>
      </c>
      <c r="Y152" s="380">
        <v>0</v>
      </c>
      <c r="Z152" s="380">
        <v>0</v>
      </c>
      <c r="AA152" s="380">
        <v>0</v>
      </c>
      <c r="AB152" s="380">
        <v>0</v>
      </c>
      <c r="AC152" s="348">
        <v>0</v>
      </c>
      <c r="AD152" s="449">
        <v>0</v>
      </c>
      <c r="AE152" s="380">
        <v>0</v>
      </c>
      <c r="AF152" s="380">
        <v>0</v>
      </c>
      <c r="AG152" s="1090">
        <v>0</v>
      </c>
      <c r="AH152" s="915"/>
      <c r="AI152" s="915"/>
      <c r="AJ152" s="915"/>
      <c r="AK152" s="915"/>
      <c r="AL152" s="916"/>
      <c r="BB152" s="201"/>
      <c r="BE152" s="577"/>
      <c r="BF152" s="577"/>
      <c r="BG152" s="198"/>
      <c r="BH152" s="580"/>
      <c r="BI152" s="201"/>
      <c r="BK152" s="201"/>
      <c r="BL152" s="201"/>
      <c r="BQ152" s="202"/>
      <c r="BR152" s="202"/>
    </row>
    <row r="153" spans="1:70" s="439" customFormat="1" ht="15" customHeight="1" x14ac:dyDescent="0.25">
      <c r="A153" s="459"/>
      <c r="B153" s="584" t="s">
        <v>398</v>
      </c>
      <c r="C153" s="961">
        <v>24</v>
      </c>
      <c r="D153" s="238" t="s">
        <v>2</v>
      </c>
      <c r="E153" s="47"/>
      <c r="F153" s="47"/>
      <c r="G153" s="47"/>
      <c r="H153" s="618" t="s">
        <v>147</v>
      </c>
      <c r="I153" s="415">
        <f>+'P01 2025'!F124</f>
        <v>82773</v>
      </c>
      <c r="J153" s="415">
        <f>+'P01 2025'!U127</f>
        <v>82773</v>
      </c>
      <c r="K153" s="415">
        <f ca="1">SUMIF(T$3:$AG144,"ok",T153:AG153)</f>
        <v>14426.592000000001</v>
      </c>
      <c r="L153" s="562">
        <f t="shared" ca="1" si="24"/>
        <v>0.17429103693233303</v>
      </c>
      <c r="M153" s="415">
        <f>+'P01 2025'!W127</f>
        <v>81409.551999999996</v>
      </c>
      <c r="N153" s="562">
        <f t="shared" si="25"/>
        <v>0.98352786536672576</v>
      </c>
      <c r="O153" s="415">
        <f t="shared" si="27"/>
        <v>1363.448000000004</v>
      </c>
      <c r="P153" s="691">
        <f t="shared" si="26"/>
        <v>1.6472134633274182E-2</v>
      </c>
      <c r="Q153" s="442">
        <f>+'P01 2024'!X124</f>
        <v>117494.878</v>
      </c>
      <c r="R153" s="109">
        <f ca="1">+R162+R172+R154</f>
        <v>9353.7339040000006</v>
      </c>
      <c r="S153" s="562">
        <f t="shared" ca="1" si="28"/>
        <v>7.9609716297590449E-2</v>
      </c>
      <c r="T153" s="806">
        <f>+'P01 2025'!G124</f>
        <v>7213.2960000000003</v>
      </c>
      <c r="U153" s="804">
        <f>+'P01 2024'!K123</f>
        <v>5147.666518</v>
      </c>
      <c r="V153" s="804">
        <f>+'P01 2025'!N82</f>
        <v>7213.2960000000003</v>
      </c>
      <c r="W153" s="109">
        <f>+'P01 2024'!Q76</f>
        <v>4206.0673859999997</v>
      </c>
      <c r="X153" s="943">
        <f>+'P01 2024'!AE94</f>
        <v>7758.402</v>
      </c>
      <c r="Y153" s="208">
        <f>+'P01 2024'!AT84</f>
        <v>6311.4309999999996</v>
      </c>
      <c r="Z153" s="208">
        <f>+'P01 2024'!BI78</f>
        <v>5347.0410000000002</v>
      </c>
      <c r="AA153" s="208">
        <f>+'P01 2024'!BX93</f>
        <v>265788.283</v>
      </c>
      <c r="AB153" s="208">
        <f>+'P01 2024'!CM101</f>
        <v>251599.399</v>
      </c>
      <c r="AC153" s="208">
        <f>+'P01 2024'!DB98</f>
        <v>406278.34100000001</v>
      </c>
      <c r="AD153" s="208">
        <f>+'P01 2024'!DR93</f>
        <v>6232.0649999999996</v>
      </c>
      <c r="AE153" s="208">
        <f>AE154+AE162+AE172</f>
        <v>8223.634</v>
      </c>
      <c r="AF153" s="208">
        <f>+'P01 2024'!ET90</f>
        <v>9565.768</v>
      </c>
      <c r="AG153" s="1005">
        <f>+'P01 2024'!FL110</f>
        <v>728892.16799999995</v>
      </c>
      <c r="AH153" s="915"/>
      <c r="AI153" s="915"/>
      <c r="AJ153" s="915"/>
      <c r="AK153" s="915"/>
      <c r="AL153" s="916"/>
      <c r="AM153" s="210"/>
      <c r="AN153" s="210"/>
      <c r="AO153" s="210"/>
      <c r="AP153" s="210"/>
      <c r="AQ153" s="210"/>
      <c r="AR153" s="210"/>
      <c r="AS153" s="210"/>
      <c r="AT153" s="210"/>
      <c r="AU153" s="210"/>
      <c r="AV153" s="210"/>
      <c r="AW153" s="210"/>
      <c r="AX153" s="201"/>
      <c r="AY153" s="201"/>
      <c r="AZ153" s="201"/>
      <c r="BA153" s="201"/>
      <c r="BB153" s="201"/>
      <c r="BC153" s="905"/>
      <c r="BD153" s="905"/>
      <c r="BE153" s="577"/>
      <c r="BF153" s="577"/>
      <c r="BG153" s="198"/>
      <c r="BH153" s="580"/>
      <c r="BI153" s="201"/>
      <c r="BJ153" s="258"/>
      <c r="BK153" s="211"/>
      <c r="BL153" s="211"/>
      <c r="BM153" s="258"/>
      <c r="BN153" s="258"/>
      <c r="BO153" s="258"/>
      <c r="BP153" s="258"/>
      <c r="BQ153" s="214"/>
      <c r="BR153" s="214"/>
    </row>
    <row r="154" spans="1:70" ht="15" hidden="1" customHeight="1" x14ac:dyDescent="0.25">
      <c r="B154" s="233" t="s">
        <v>508</v>
      </c>
      <c r="C154" s="961" t="s">
        <v>2</v>
      </c>
      <c r="D154" s="518" t="s">
        <v>302</v>
      </c>
      <c r="E154" s="47"/>
      <c r="F154" s="47"/>
      <c r="G154" s="47"/>
      <c r="H154" s="618" t="s">
        <v>300</v>
      </c>
      <c r="I154" s="195">
        <v>0</v>
      </c>
      <c r="J154" s="415">
        <v>0</v>
      </c>
      <c r="K154" s="415">
        <f ca="1">SUMIF(T$3:$AG145,"ok",T154:AG154)</f>
        <v>0</v>
      </c>
      <c r="L154" s="562">
        <f t="shared" ca="1" si="24"/>
        <v>0</v>
      </c>
      <c r="M154" s="415">
        <v>0</v>
      </c>
      <c r="N154" s="562">
        <f t="shared" si="25"/>
        <v>0</v>
      </c>
      <c r="O154" s="415">
        <f t="shared" si="27"/>
        <v>0</v>
      </c>
      <c r="P154" s="691">
        <f t="shared" si="26"/>
        <v>0</v>
      </c>
      <c r="Q154" s="442">
        <v>0</v>
      </c>
      <c r="R154" s="426">
        <f ca="1">SUM(R155:R161)</f>
        <v>0</v>
      </c>
      <c r="S154" s="562" t="str">
        <f t="shared" ca="1" si="28"/>
        <v>0,00%</v>
      </c>
      <c r="T154" s="806">
        <v>0</v>
      </c>
      <c r="U154" s="804">
        <v>0</v>
      </c>
      <c r="V154" s="804">
        <v>0</v>
      </c>
      <c r="W154" s="416">
        <v>0</v>
      </c>
      <c r="X154" s="943">
        <v>0</v>
      </c>
      <c r="Y154" s="109">
        <v>0</v>
      </c>
      <c r="Z154" s="109">
        <v>0</v>
      </c>
      <c r="AA154" s="109">
        <v>0</v>
      </c>
      <c r="AB154" s="109">
        <v>0</v>
      </c>
      <c r="AC154" s="109">
        <v>0</v>
      </c>
      <c r="AD154" s="109">
        <v>0</v>
      </c>
      <c r="AE154" s="109">
        <f>SUM(AE155:AE161)</f>
        <v>0</v>
      </c>
      <c r="AF154" s="109">
        <v>0</v>
      </c>
      <c r="AG154" s="1006">
        <v>0</v>
      </c>
      <c r="AH154" s="915"/>
      <c r="AI154" s="915"/>
      <c r="AJ154" s="915"/>
      <c r="AK154" s="915"/>
      <c r="AL154" s="916"/>
      <c r="BB154" s="201"/>
      <c r="BE154" s="577"/>
      <c r="BF154" s="577"/>
      <c r="BG154" s="198"/>
      <c r="BH154" s="580"/>
      <c r="BI154" s="201"/>
      <c r="BK154" s="201"/>
      <c r="BL154" s="201"/>
      <c r="BQ154" s="202"/>
      <c r="BR154" s="202"/>
    </row>
    <row r="155" spans="1:70" s="458" customFormat="1" ht="15" hidden="1" customHeight="1" x14ac:dyDescent="0.25">
      <c r="A155" s="107"/>
      <c r="B155" s="233" t="s">
        <v>842</v>
      </c>
      <c r="C155" s="692"/>
      <c r="D155" s="354"/>
      <c r="E155" s="435"/>
      <c r="F155" s="435"/>
      <c r="G155" s="434" t="s">
        <v>845</v>
      </c>
      <c r="H155" s="896" t="s">
        <v>844</v>
      </c>
      <c r="I155" s="342">
        <v>0</v>
      </c>
      <c r="J155" s="436">
        <v>0</v>
      </c>
      <c r="K155" s="436">
        <f ca="1">SUMIF(T$3:$AG146,"ok",T155:AG155)</f>
        <v>0</v>
      </c>
      <c r="L155" s="564">
        <f t="shared" ca="1" si="24"/>
        <v>0</v>
      </c>
      <c r="M155" s="436">
        <v>0</v>
      </c>
      <c r="N155" s="564">
        <f t="shared" si="25"/>
        <v>0</v>
      </c>
      <c r="O155" s="436">
        <f t="shared" si="27"/>
        <v>0</v>
      </c>
      <c r="P155" s="228">
        <f t="shared" si="26"/>
        <v>0</v>
      </c>
      <c r="Q155" s="112">
        <v>0</v>
      </c>
      <c r="R155" s="452">
        <f ca="1">SUMIF(T$3:$AG146,"SI",T155:AG155)</f>
        <v>0</v>
      </c>
      <c r="S155" s="974" t="str">
        <f t="shared" ca="1" si="28"/>
        <v>0,00%</v>
      </c>
      <c r="T155" s="422">
        <v>0</v>
      </c>
      <c r="U155" s="808">
        <v>0</v>
      </c>
      <c r="V155" s="808">
        <v>0</v>
      </c>
      <c r="W155" s="345">
        <v>0</v>
      </c>
      <c r="X155" s="946">
        <v>0</v>
      </c>
      <c r="Y155" s="457">
        <v>0</v>
      </c>
      <c r="Z155" s="457">
        <v>0</v>
      </c>
      <c r="AA155" s="457">
        <v>0</v>
      </c>
      <c r="AB155" s="345">
        <v>0</v>
      </c>
      <c r="AC155" s="457">
        <v>0</v>
      </c>
      <c r="AD155" s="454">
        <v>0</v>
      </c>
      <c r="AE155" s="457">
        <v>0</v>
      </c>
      <c r="AF155" s="457">
        <v>0</v>
      </c>
      <c r="AG155" s="1010">
        <v>0</v>
      </c>
      <c r="AH155" s="915"/>
      <c r="AI155" s="915"/>
      <c r="AJ155" s="915"/>
      <c r="AK155" s="915"/>
      <c r="AL155" s="916"/>
      <c r="AM155" s="210"/>
      <c r="AN155" s="210"/>
      <c r="AO155" s="210"/>
      <c r="AP155" s="210"/>
      <c r="AQ155" s="210"/>
      <c r="AR155" s="210"/>
      <c r="AS155" s="210"/>
      <c r="AT155" s="210"/>
      <c r="AU155" s="210"/>
      <c r="AV155" s="210"/>
      <c r="AW155" s="210"/>
      <c r="AX155" s="201"/>
      <c r="AY155" s="201"/>
      <c r="AZ155" s="201"/>
      <c r="BA155" s="201"/>
      <c r="BB155" s="201"/>
      <c r="BC155" s="905"/>
      <c r="BD155" s="905"/>
      <c r="BE155" s="577"/>
      <c r="BF155" s="577"/>
      <c r="BG155" s="198"/>
      <c r="BH155" s="580"/>
      <c r="BI155" s="201"/>
      <c r="BJ155" s="210"/>
      <c r="BK155" s="201"/>
      <c r="BL155" s="201"/>
      <c r="BM155" s="210"/>
      <c r="BN155" s="210"/>
      <c r="BO155" s="210"/>
      <c r="BP155" s="210"/>
      <c r="BQ155" s="273"/>
      <c r="BR155" s="273"/>
    </row>
    <row r="156" spans="1:70" ht="15" hidden="1" customHeight="1" x14ac:dyDescent="0.25">
      <c r="B156" s="233" t="s">
        <v>954</v>
      </c>
      <c r="C156" s="964"/>
      <c r="D156" s="605"/>
      <c r="E156" s="209"/>
      <c r="F156" s="209"/>
      <c r="G156" s="418" t="s">
        <v>301</v>
      </c>
      <c r="H156" s="814" t="s">
        <v>605</v>
      </c>
      <c r="I156" s="342">
        <v>0</v>
      </c>
      <c r="J156" s="436">
        <v>0</v>
      </c>
      <c r="K156" s="436">
        <f ca="1">SUMIF(T$3:$AG147,"ok",T156:AG156)</f>
        <v>0</v>
      </c>
      <c r="L156" s="564">
        <f t="shared" ca="1" si="24"/>
        <v>0</v>
      </c>
      <c r="M156" s="436">
        <v>0</v>
      </c>
      <c r="N156" s="564">
        <f t="shared" si="25"/>
        <v>0</v>
      </c>
      <c r="O156" s="436">
        <f t="shared" si="27"/>
        <v>0</v>
      </c>
      <c r="P156" s="228">
        <f t="shared" si="26"/>
        <v>0</v>
      </c>
      <c r="Q156" s="112">
        <v>0</v>
      </c>
      <c r="R156" s="422">
        <f ca="1">SUMIF(T$3:$AG147,"SI",T156:AG156)</f>
        <v>0</v>
      </c>
      <c r="S156" s="227" t="str">
        <f t="shared" ca="1" si="28"/>
        <v>0,00%</v>
      </c>
      <c r="T156" s="422">
        <v>0</v>
      </c>
      <c r="U156" s="805">
        <v>0</v>
      </c>
      <c r="V156" s="808">
        <v>0</v>
      </c>
      <c r="W156" s="112">
        <v>0</v>
      </c>
      <c r="X156" s="944">
        <v>0</v>
      </c>
      <c r="Y156" s="115">
        <v>0</v>
      </c>
      <c r="Z156" s="115">
        <v>0</v>
      </c>
      <c r="AA156" s="115">
        <v>0</v>
      </c>
      <c r="AB156" s="345">
        <v>0</v>
      </c>
      <c r="AC156" s="115">
        <v>0</v>
      </c>
      <c r="AD156" s="112">
        <v>0</v>
      </c>
      <c r="AE156" s="112">
        <v>0</v>
      </c>
      <c r="AF156" s="302">
        <v>0</v>
      </c>
      <c r="AG156" s="1086">
        <v>0</v>
      </c>
      <c r="AH156" s="915"/>
      <c r="AI156" s="915"/>
      <c r="AJ156" s="915"/>
      <c r="AK156" s="915"/>
      <c r="AL156" s="916"/>
      <c r="BB156" s="201"/>
      <c r="BE156" s="577"/>
      <c r="BF156" s="577"/>
      <c r="BG156" s="198"/>
      <c r="BH156" s="580"/>
      <c r="BI156" s="201"/>
      <c r="BK156" s="201"/>
      <c r="BL156" s="201"/>
      <c r="BQ156" s="202"/>
      <c r="BR156" s="202"/>
    </row>
    <row r="157" spans="1:70" ht="15" hidden="1" customHeight="1" x14ac:dyDescent="0.25">
      <c r="B157" s="233" t="s">
        <v>955</v>
      </c>
      <c r="C157" s="964"/>
      <c r="D157" s="605"/>
      <c r="E157" s="209"/>
      <c r="F157" s="209"/>
      <c r="G157" s="418" t="s">
        <v>308</v>
      </c>
      <c r="H157" s="814" t="s">
        <v>610</v>
      </c>
      <c r="I157" s="342">
        <v>0</v>
      </c>
      <c r="J157" s="436">
        <v>0</v>
      </c>
      <c r="K157" s="436">
        <f ca="1">SUMIF(T$3:$AG148,"ok",T157:AG157)</f>
        <v>0</v>
      </c>
      <c r="L157" s="564">
        <f t="shared" ca="1" si="24"/>
        <v>0</v>
      </c>
      <c r="M157" s="436">
        <v>0</v>
      </c>
      <c r="N157" s="564">
        <f t="shared" si="25"/>
        <v>0</v>
      </c>
      <c r="O157" s="436">
        <f t="shared" si="27"/>
        <v>0</v>
      </c>
      <c r="P157" s="228">
        <f t="shared" si="26"/>
        <v>0</v>
      </c>
      <c r="Q157" s="112">
        <v>0</v>
      </c>
      <c r="R157" s="422">
        <f ca="1">SUMIF(T$3:$AG148,"SI",T157:AG157)</f>
        <v>0</v>
      </c>
      <c r="S157" s="227" t="str">
        <f t="shared" ca="1" si="28"/>
        <v>0,00%</v>
      </c>
      <c r="T157" s="422">
        <v>0</v>
      </c>
      <c r="U157" s="805">
        <v>0</v>
      </c>
      <c r="V157" s="808">
        <v>0</v>
      </c>
      <c r="W157" s="112">
        <v>0</v>
      </c>
      <c r="X157" s="944">
        <v>0</v>
      </c>
      <c r="Y157" s="115">
        <v>0</v>
      </c>
      <c r="Z157" s="115">
        <v>0</v>
      </c>
      <c r="AA157" s="115">
        <v>0</v>
      </c>
      <c r="AB157" s="345">
        <v>0</v>
      </c>
      <c r="AC157" s="115">
        <v>0</v>
      </c>
      <c r="AD157" s="112">
        <v>0</v>
      </c>
      <c r="AE157" s="115">
        <v>0</v>
      </c>
      <c r="AF157" s="302">
        <v>0</v>
      </c>
      <c r="AG157" s="1086">
        <v>0</v>
      </c>
      <c r="AH157" s="915"/>
      <c r="AI157" s="915"/>
      <c r="AJ157" s="915"/>
      <c r="AK157" s="915"/>
      <c r="AL157" s="916"/>
      <c r="BB157" s="201"/>
      <c r="BE157" s="577"/>
      <c r="BF157" s="577"/>
      <c r="BG157" s="198"/>
      <c r="BH157" s="580"/>
      <c r="BI157" s="201"/>
      <c r="BK157" s="201"/>
      <c r="BL157" s="201"/>
      <c r="BQ157" s="202"/>
      <c r="BR157" s="202"/>
    </row>
    <row r="158" spans="1:70" ht="15" hidden="1" customHeight="1" x14ac:dyDescent="0.25">
      <c r="B158" s="233" t="s">
        <v>956</v>
      </c>
      <c r="C158" s="964"/>
      <c r="D158" s="605"/>
      <c r="E158" s="209"/>
      <c r="F158" s="209"/>
      <c r="G158" s="418" t="s">
        <v>329</v>
      </c>
      <c r="H158" s="814" t="s">
        <v>676</v>
      </c>
      <c r="I158" s="342">
        <v>0</v>
      </c>
      <c r="J158" s="436">
        <v>0</v>
      </c>
      <c r="K158" s="436">
        <f ca="1">SUMIF(T$3:$AG149,"ok",T158:AG158)</f>
        <v>0</v>
      </c>
      <c r="L158" s="564">
        <f t="shared" ca="1" si="24"/>
        <v>0</v>
      </c>
      <c r="M158" s="436">
        <v>0</v>
      </c>
      <c r="N158" s="564">
        <f t="shared" si="25"/>
        <v>0</v>
      </c>
      <c r="O158" s="436">
        <f t="shared" si="27"/>
        <v>0</v>
      </c>
      <c r="P158" s="228">
        <f t="shared" si="26"/>
        <v>0</v>
      </c>
      <c r="Q158" s="112">
        <v>0</v>
      </c>
      <c r="R158" s="422">
        <f ca="1">SUMIF(T$3:$AG149,"SI",T158:AG158)</f>
        <v>0</v>
      </c>
      <c r="S158" s="227" t="str">
        <f t="shared" ca="1" si="28"/>
        <v>0,00%</v>
      </c>
      <c r="T158" s="422">
        <v>0</v>
      </c>
      <c r="U158" s="805">
        <v>0</v>
      </c>
      <c r="V158" s="808">
        <v>0</v>
      </c>
      <c r="W158" s="112">
        <v>0</v>
      </c>
      <c r="X158" s="944">
        <v>0</v>
      </c>
      <c r="Y158" s="115">
        <v>0</v>
      </c>
      <c r="Z158" s="115">
        <v>0</v>
      </c>
      <c r="AA158" s="115">
        <v>0</v>
      </c>
      <c r="AB158" s="345">
        <v>0</v>
      </c>
      <c r="AC158" s="115">
        <v>0</v>
      </c>
      <c r="AD158" s="112">
        <v>0</v>
      </c>
      <c r="AE158" s="115">
        <v>0</v>
      </c>
      <c r="AF158" s="302">
        <v>0</v>
      </c>
      <c r="AG158" s="1086">
        <v>0</v>
      </c>
      <c r="AH158" s="915"/>
      <c r="AI158" s="915"/>
      <c r="AJ158" s="915"/>
      <c r="AK158" s="915"/>
      <c r="AL158" s="916"/>
      <c r="BB158" s="201"/>
      <c r="BE158" s="577"/>
      <c r="BF158" s="577"/>
      <c r="BG158" s="198"/>
      <c r="BH158" s="580"/>
      <c r="BI158" s="201"/>
      <c r="BK158" s="201"/>
      <c r="BL158" s="201"/>
      <c r="BQ158" s="202"/>
      <c r="BR158" s="202"/>
    </row>
    <row r="159" spans="1:70" ht="15" hidden="1" customHeight="1" x14ac:dyDescent="0.25">
      <c r="B159" s="233" t="s">
        <v>957</v>
      </c>
      <c r="C159" s="964"/>
      <c r="D159" s="605"/>
      <c r="E159" s="209"/>
      <c r="F159" s="209"/>
      <c r="G159" s="418" t="s">
        <v>675</v>
      </c>
      <c r="H159" s="814" t="s">
        <v>677</v>
      </c>
      <c r="I159" s="342">
        <v>0</v>
      </c>
      <c r="J159" s="436">
        <v>0</v>
      </c>
      <c r="K159" s="436">
        <f ca="1">SUMIF(T$3:$AG151,"ok",T159:AG159)</f>
        <v>0</v>
      </c>
      <c r="L159" s="564">
        <f t="shared" ca="1" si="24"/>
        <v>0</v>
      </c>
      <c r="M159" s="436">
        <v>0</v>
      </c>
      <c r="N159" s="564">
        <f t="shared" si="25"/>
        <v>0</v>
      </c>
      <c r="O159" s="436">
        <f t="shared" si="27"/>
        <v>0</v>
      </c>
      <c r="P159" s="228">
        <f t="shared" si="26"/>
        <v>0</v>
      </c>
      <c r="Q159" s="112">
        <v>0</v>
      </c>
      <c r="R159" s="422">
        <f ca="1">SUMIF(T$3:$AG151,"SI",T159:AG159)</f>
        <v>0</v>
      </c>
      <c r="S159" s="227" t="str">
        <f t="shared" ca="1" si="28"/>
        <v>0,00%</v>
      </c>
      <c r="T159" s="422">
        <v>0</v>
      </c>
      <c r="U159" s="805">
        <v>0</v>
      </c>
      <c r="V159" s="808">
        <v>0</v>
      </c>
      <c r="W159" s="112">
        <v>0</v>
      </c>
      <c r="X159" s="944">
        <v>0</v>
      </c>
      <c r="Y159" s="115">
        <v>0</v>
      </c>
      <c r="Z159" s="115">
        <v>0</v>
      </c>
      <c r="AA159" s="115">
        <v>0</v>
      </c>
      <c r="AB159" s="345">
        <v>0</v>
      </c>
      <c r="AC159" s="115">
        <v>0</v>
      </c>
      <c r="AD159" s="112">
        <v>0</v>
      </c>
      <c r="AE159" s="115">
        <v>0</v>
      </c>
      <c r="AF159" s="302">
        <v>0</v>
      </c>
      <c r="AG159" s="1086">
        <v>0</v>
      </c>
      <c r="AH159" s="915"/>
      <c r="AI159" s="915"/>
      <c r="AJ159" s="915"/>
      <c r="AK159" s="915"/>
      <c r="AL159" s="916"/>
      <c r="BB159" s="201"/>
      <c r="BE159" s="577"/>
      <c r="BF159" s="577"/>
      <c r="BG159" s="198"/>
      <c r="BH159" s="580"/>
      <c r="BI159" s="201"/>
      <c r="BK159" s="201"/>
      <c r="BL159" s="201"/>
      <c r="BQ159" s="202"/>
      <c r="BR159" s="202"/>
    </row>
    <row r="160" spans="1:70" ht="15" hidden="1" customHeight="1" x14ac:dyDescent="0.25">
      <c r="B160" s="233" t="s">
        <v>958</v>
      </c>
      <c r="C160" s="964"/>
      <c r="D160" s="605"/>
      <c r="E160" s="209"/>
      <c r="F160" s="209"/>
      <c r="G160" s="418" t="s">
        <v>770</v>
      </c>
      <c r="H160" s="814" t="s">
        <v>745</v>
      </c>
      <c r="I160" s="342">
        <v>0</v>
      </c>
      <c r="J160" s="436">
        <v>0</v>
      </c>
      <c r="K160" s="436">
        <f ca="1">SUMIF(T$3:$AG152,"ok",T160:AG160)</f>
        <v>0</v>
      </c>
      <c r="L160" s="564">
        <f t="shared" ca="1" si="24"/>
        <v>0</v>
      </c>
      <c r="M160" s="436">
        <v>0</v>
      </c>
      <c r="N160" s="564">
        <f t="shared" si="25"/>
        <v>0</v>
      </c>
      <c r="O160" s="436">
        <f t="shared" si="27"/>
        <v>0</v>
      </c>
      <c r="P160" s="228">
        <f t="shared" si="26"/>
        <v>0</v>
      </c>
      <c r="Q160" s="112">
        <v>0</v>
      </c>
      <c r="R160" s="422">
        <f ca="1">SUMIF(T$3:$AG152,"SI",T160:AG160)</f>
        <v>0</v>
      </c>
      <c r="S160" s="227" t="str">
        <f t="shared" ca="1" si="28"/>
        <v>0,00%</v>
      </c>
      <c r="T160" s="422">
        <v>0</v>
      </c>
      <c r="U160" s="805">
        <v>0</v>
      </c>
      <c r="V160" s="808">
        <v>0</v>
      </c>
      <c r="W160" s="112">
        <v>0</v>
      </c>
      <c r="X160" s="944">
        <v>0</v>
      </c>
      <c r="Y160" s="115">
        <v>0</v>
      </c>
      <c r="Z160" s="115">
        <v>0</v>
      </c>
      <c r="AA160" s="115">
        <v>0</v>
      </c>
      <c r="AB160" s="345">
        <v>0</v>
      </c>
      <c r="AC160" s="115">
        <v>0</v>
      </c>
      <c r="AD160" s="112">
        <v>0</v>
      </c>
      <c r="AE160" s="115">
        <v>0</v>
      </c>
      <c r="AF160" s="302">
        <v>0</v>
      </c>
      <c r="AG160" s="1086">
        <v>0</v>
      </c>
      <c r="AH160" s="915"/>
      <c r="AI160" s="915"/>
      <c r="AJ160" s="915"/>
      <c r="AK160" s="915"/>
      <c r="AL160" s="916"/>
      <c r="BB160" s="201"/>
      <c r="BE160" s="577"/>
      <c r="BF160" s="577"/>
      <c r="BG160" s="198"/>
      <c r="BH160" s="580"/>
      <c r="BI160" s="201"/>
      <c r="BK160" s="201"/>
      <c r="BL160" s="201"/>
      <c r="BQ160" s="202"/>
      <c r="BR160" s="202"/>
    </row>
    <row r="161" spans="1:81" ht="15" hidden="1" customHeight="1" x14ac:dyDescent="0.25">
      <c r="B161" s="233" t="s">
        <v>959</v>
      </c>
      <c r="C161" s="964"/>
      <c r="D161" s="605"/>
      <c r="E161" s="209"/>
      <c r="F161" s="209"/>
      <c r="G161" s="418" t="s">
        <v>771</v>
      </c>
      <c r="H161" s="814" t="s">
        <v>746</v>
      </c>
      <c r="I161" s="342">
        <v>0</v>
      </c>
      <c r="J161" s="436">
        <v>0</v>
      </c>
      <c r="K161" s="436">
        <f ca="1">SUMIF(T$3:$AG153,"ok",T161:AG161)</f>
        <v>0</v>
      </c>
      <c r="L161" s="564">
        <f t="shared" ca="1" si="24"/>
        <v>0</v>
      </c>
      <c r="M161" s="436">
        <v>0</v>
      </c>
      <c r="N161" s="564">
        <f t="shared" si="25"/>
        <v>0</v>
      </c>
      <c r="O161" s="436">
        <f t="shared" si="27"/>
        <v>0</v>
      </c>
      <c r="P161" s="228">
        <f t="shared" si="26"/>
        <v>0</v>
      </c>
      <c r="Q161" s="112">
        <v>0</v>
      </c>
      <c r="R161" s="422">
        <f ca="1">SUMIF(T$3:$AG153,"SI",T161:AG161)</f>
        <v>0</v>
      </c>
      <c r="S161" s="227" t="str">
        <f t="shared" ca="1" si="28"/>
        <v>0,00%</v>
      </c>
      <c r="T161" s="422">
        <v>0</v>
      </c>
      <c r="U161" s="805">
        <v>0</v>
      </c>
      <c r="V161" s="808">
        <v>0</v>
      </c>
      <c r="W161" s="112">
        <v>0</v>
      </c>
      <c r="X161" s="944">
        <v>0</v>
      </c>
      <c r="Y161" s="115">
        <v>0</v>
      </c>
      <c r="Z161" s="115">
        <v>0</v>
      </c>
      <c r="AA161" s="115">
        <v>0</v>
      </c>
      <c r="AB161" s="345">
        <v>0</v>
      </c>
      <c r="AC161" s="115">
        <v>0</v>
      </c>
      <c r="AD161" s="112">
        <v>0</v>
      </c>
      <c r="AE161" s="115">
        <v>0</v>
      </c>
      <c r="AF161" s="302">
        <v>0</v>
      </c>
      <c r="AG161" s="1086">
        <v>0</v>
      </c>
      <c r="AH161" s="915"/>
      <c r="AI161" s="915"/>
      <c r="AJ161" s="915"/>
      <c r="AK161" s="915"/>
      <c r="AL161" s="916"/>
      <c r="BB161" s="201"/>
      <c r="BE161" s="577"/>
      <c r="BF161" s="577"/>
      <c r="BG161" s="198"/>
      <c r="BH161" s="580"/>
      <c r="BI161" s="201"/>
      <c r="BK161" s="201"/>
      <c r="BL161" s="201"/>
      <c r="BQ161" s="202"/>
      <c r="BR161" s="202"/>
    </row>
    <row r="162" spans="1:81" ht="15" customHeight="1" x14ac:dyDescent="0.25">
      <c r="B162" s="233" t="s">
        <v>399</v>
      </c>
      <c r="C162" s="464" t="s">
        <v>2</v>
      </c>
      <c r="D162" s="304" t="s">
        <v>165</v>
      </c>
      <c r="E162" s="209"/>
      <c r="F162" s="209"/>
      <c r="G162" s="209"/>
      <c r="H162" s="730" t="s">
        <v>305</v>
      </c>
      <c r="I162" s="712">
        <f>+'P01 2025'!F125</f>
        <v>10</v>
      </c>
      <c r="J162" s="333">
        <f>+'P01 2025'!U128</f>
        <v>10</v>
      </c>
      <c r="K162" s="333">
        <f ca="1">SUMIF(T$3:$AG154,"ok",T162:AG162)</f>
        <v>0</v>
      </c>
      <c r="L162" s="1107">
        <f t="shared" ca="1" si="24"/>
        <v>0</v>
      </c>
      <c r="M162" s="333">
        <f>+'P01 2025'!W128</f>
        <v>0</v>
      </c>
      <c r="N162" s="1107">
        <f t="shared" si="25"/>
        <v>0</v>
      </c>
      <c r="O162" s="333">
        <f t="shared" si="27"/>
        <v>10</v>
      </c>
      <c r="P162" s="228">
        <f t="shared" si="26"/>
        <v>1</v>
      </c>
      <c r="Q162" s="425">
        <f>+'P01 2024'!X125</f>
        <v>117494.878</v>
      </c>
      <c r="R162" s="882">
        <f ca="1">SUM(R163:R171)</f>
        <v>9353.7339040000006</v>
      </c>
      <c r="S162" s="1107">
        <f t="shared" ca="1" si="28"/>
        <v>7.9609716297590449E-2</v>
      </c>
      <c r="T162" s="422">
        <f>+'P01 2025'!G125</f>
        <v>0</v>
      </c>
      <c r="U162" s="1194">
        <f>+'P01 2024'!K124</f>
        <v>5147.666518</v>
      </c>
      <c r="V162" s="1194">
        <v>0</v>
      </c>
      <c r="W162" s="332">
        <f>+'P01 2024'!Q77</f>
        <v>4206.0673859999997</v>
      </c>
      <c r="X162" s="945">
        <f>+'P01 2024'!AE95</f>
        <v>7758.402</v>
      </c>
      <c r="Y162" s="115">
        <f>+'P01 2024'!AT85</f>
        <v>6311.4309999999996</v>
      </c>
      <c r="Z162" s="115">
        <f>+'P01 2024'!BI79</f>
        <v>5347.0410000000002</v>
      </c>
      <c r="AA162" s="115">
        <f>+'P01 2024'!BX94</f>
        <v>5788.2830000000004</v>
      </c>
      <c r="AB162" s="115">
        <f>+'P01 2024'!CM102</f>
        <v>7313.4110000000001</v>
      </c>
      <c r="AC162" s="115">
        <f>+'P01 2024'!DB99</f>
        <v>406278.34100000001</v>
      </c>
      <c r="AD162" s="115">
        <f>+'P01 2024'!DR94</f>
        <v>6232.0649999999996</v>
      </c>
      <c r="AE162" s="115">
        <f>SUM(AE163:AE171)</f>
        <v>8223.634</v>
      </c>
      <c r="AF162" s="115">
        <f>+'P01 2024'!ET91</f>
        <v>9565.768</v>
      </c>
      <c r="AG162" s="1086">
        <f>+'P01 2024'!FL111</f>
        <v>218292.16800000001</v>
      </c>
      <c r="AH162" s="936"/>
      <c r="AI162" s="936"/>
      <c r="AJ162" s="936"/>
      <c r="AK162" s="936"/>
      <c r="AL162" s="937"/>
      <c r="BB162" s="201"/>
      <c r="BE162" s="577"/>
      <c r="BF162" s="577"/>
      <c r="BG162" s="198"/>
      <c r="BH162" s="580"/>
      <c r="BI162" s="201"/>
      <c r="BK162" s="201"/>
      <c r="BL162" s="201"/>
      <c r="BQ162" s="202"/>
      <c r="BR162" s="202"/>
    </row>
    <row r="163" spans="1:81" ht="15" customHeight="1" x14ac:dyDescent="0.25">
      <c r="B163" s="233" t="s">
        <v>577</v>
      </c>
      <c r="C163" s="964"/>
      <c r="D163" s="304"/>
      <c r="E163" s="514" t="s">
        <v>193</v>
      </c>
      <c r="F163" s="113"/>
      <c r="G163" s="418" t="str">
        <f>+CONCATENATE($C$153,"",$D$162,"",E163)</f>
        <v>24.03.024</v>
      </c>
      <c r="H163" s="899" t="s">
        <v>239</v>
      </c>
      <c r="I163" s="342">
        <f>+'P01 2025'!F126</f>
        <v>10</v>
      </c>
      <c r="J163" s="436">
        <f>+'P01 2025'!U129</f>
        <v>10</v>
      </c>
      <c r="K163" s="342">
        <f ca="1">SUMIF(T$3:$AG155,"ok",T163:AG163)</f>
        <v>0</v>
      </c>
      <c r="L163" s="569">
        <f t="shared" ca="1" si="24"/>
        <v>0</v>
      </c>
      <c r="M163" s="436">
        <f>+'P01 2025'!W129</f>
        <v>0</v>
      </c>
      <c r="N163" s="569">
        <f t="shared" si="25"/>
        <v>0</v>
      </c>
      <c r="O163" s="436">
        <f t="shared" si="27"/>
        <v>10</v>
      </c>
      <c r="P163" s="228">
        <f t="shared" si="26"/>
        <v>1</v>
      </c>
      <c r="Q163" s="112">
        <f>+'P01 2024'!X126</f>
        <v>10.42</v>
      </c>
      <c r="R163" s="425">
        <f ca="1">SUMIF(T$3:$AG154,"SI",T163:AG163)</f>
        <v>0</v>
      </c>
      <c r="S163" s="227">
        <f t="shared" ca="1" si="28"/>
        <v>0</v>
      </c>
      <c r="T163" s="422">
        <f>+'P01 2025'!G126</f>
        <v>0</v>
      </c>
      <c r="U163" s="805">
        <f>+'P01 2024'!K125</f>
        <v>0</v>
      </c>
      <c r="V163" s="805">
        <v>0</v>
      </c>
      <c r="W163" s="441">
        <v>0</v>
      </c>
      <c r="X163" s="944">
        <v>0</v>
      </c>
      <c r="Y163" s="115">
        <v>0</v>
      </c>
      <c r="Z163" s="115">
        <v>0</v>
      </c>
      <c r="AA163" s="115">
        <v>0</v>
      </c>
      <c r="AB163" s="115">
        <v>0</v>
      </c>
      <c r="AC163" s="241">
        <v>0</v>
      </c>
      <c r="AD163" s="112">
        <v>0</v>
      </c>
      <c r="AE163" s="115">
        <v>0</v>
      </c>
      <c r="AF163" s="302">
        <v>0</v>
      </c>
      <c r="AG163" s="1086">
        <v>0</v>
      </c>
      <c r="AH163" s="915"/>
      <c r="AI163" s="915"/>
      <c r="AJ163" s="915"/>
      <c r="AK163" s="915"/>
      <c r="AL163" s="916"/>
      <c r="BB163" s="201"/>
      <c r="BE163" s="577"/>
      <c r="BF163" s="577"/>
      <c r="BG163" s="198"/>
      <c r="BH163" s="580"/>
      <c r="BI163" s="201"/>
      <c r="BK163" s="201"/>
      <c r="BL163" s="201"/>
      <c r="BQ163" s="202"/>
      <c r="BR163" s="202"/>
    </row>
    <row r="164" spans="1:81" ht="15" hidden="1" customHeight="1" x14ac:dyDescent="0.25">
      <c r="B164" s="233" t="s">
        <v>868</v>
      </c>
      <c r="C164" s="964"/>
      <c r="D164" s="304"/>
      <c r="E164" s="514" t="s">
        <v>194</v>
      </c>
      <c r="F164" s="113"/>
      <c r="G164" s="418" t="str">
        <f>+CONCATENATE($C$153,"",$D$162,"",E164)</f>
        <v>24.03.025</v>
      </c>
      <c r="H164" s="814" t="s">
        <v>872</v>
      </c>
      <c r="I164" s="342">
        <v>0</v>
      </c>
      <c r="J164" s="436">
        <v>0</v>
      </c>
      <c r="K164" s="436">
        <f ca="1">SUMIF(T$3:$AG156,"ok",T164:AG164)</f>
        <v>0</v>
      </c>
      <c r="L164" s="563">
        <f t="shared" ca="1" si="24"/>
        <v>0</v>
      </c>
      <c r="M164" s="436">
        <v>0</v>
      </c>
      <c r="N164" s="563">
        <f t="shared" si="25"/>
        <v>0</v>
      </c>
      <c r="O164" s="436">
        <f t="shared" ref="O164:O165" si="29">J164-M164</f>
        <v>0</v>
      </c>
      <c r="P164" s="228">
        <f t="shared" si="26"/>
        <v>0</v>
      </c>
      <c r="Q164" s="112">
        <v>0</v>
      </c>
      <c r="R164" s="425">
        <f ca="1">SUMIF(T$3:$AG155,"SI",T164:AG164)</f>
        <v>0</v>
      </c>
      <c r="S164" s="227" t="str">
        <f t="shared" ca="1" si="28"/>
        <v>0,00%</v>
      </c>
      <c r="T164" s="422">
        <v>0</v>
      </c>
      <c r="U164" s="805">
        <v>0</v>
      </c>
      <c r="V164" s="805">
        <v>0</v>
      </c>
      <c r="W164" s="441">
        <v>0</v>
      </c>
      <c r="X164" s="944">
        <v>0</v>
      </c>
      <c r="Y164" s="441">
        <v>0</v>
      </c>
      <c r="Z164" s="441">
        <v>0</v>
      </c>
      <c r="AA164" s="115">
        <v>0</v>
      </c>
      <c r="AB164" s="115">
        <v>0</v>
      </c>
      <c r="AC164" s="441">
        <v>0</v>
      </c>
      <c r="AD164" s="441">
        <v>0</v>
      </c>
      <c r="AE164" s="441">
        <v>0</v>
      </c>
      <c r="AF164" s="441">
        <v>0</v>
      </c>
      <c r="AG164" s="1091">
        <f>+'P01 2024'!FL112</f>
        <v>150000</v>
      </c>
      <c r="AH164" s="915"/>
      <c r="AI164" s="915"/>
      <c r="AJ164" s="915"/>
      <c r="AK164" s="915"/>
      <c r="AL164" s="916"/>
      <c r="BB164" s="201"/>
      <c r="BE164" s="577"/>
      <c r="BF164" s="577"/>
      <c r="BG164" s="198"/>
      <c r="BH164" s="580"/>
      <c r="BI164" s="201"/>
      <c r="BK164" s="201"/>
      <c r="BL164" s="201"/>
      <c r="BQ164" s="202"/>
      <c r="BR164" s="202"/>
    </row>
    <row r="165" spans="1:81" s="459" customFormat="1" ht="15" hidden="1" customHeight="1" x14ac:dyDescent="0.25">
      <c r="B165" s="233" t="s">
        <v>912</v>
      </c>
      <c r="C165" s="692"/>
      <c r="D165" s="603"/>
      <c r="E165" s="515" t="s">
        <v>783</v>
      </c>
      <c r="F165" s="354"/>
      <c r="G165" s="355" t="str">
        <f>+CONCATENATE($C$153,"",$D$162,"",E165)</f>
        <v>24.03.027</v>
      </c>
      <c r="H165" s="814" t="s">
        <v>997</v>
      </c>
      <c r="I165" s="342">
        <v>0</v>
      </c>
      <c r="J165" s="436">
        <v>0</v>
      </c>
      <c r="K165" s="436">
        <f ca="1">SUMIF(T$3:$AG157,"ok",T165:AG165)</f>
        <v>0</v>
      </c>
      <c r="L165" s="569">
        <f t="shared" ca="1" si="24"/>
        <v>0</v>
      </c>
      <c r="M165" s="436">
        <v>0</v>
      </c>
      <c r="N165" s="569">
        <f t="shared" si="25"/>
        <v>0</v>
      </c>
      <c r="O165" s="436">
        <f t="shared" si="29"/>
        <v>0</v>
      </c>
      <c r="P165" s="693">
        <f t="shared" si="26"/>
        <v>0</v>
      </c>
      <c r="Q165" s="112">
        <v>0</v>
      </c>
      <c r="R165" s="193">
        <f ca="1">SUMIF(T$3:$AG156,"SI",T165:AG165)</f>
        <v>0</v>
      </c>
      <c r="S165" s="693" t="str">
        <f t="shared" ca="1" si="28"/>
        <v>0,00%</v>
      </c>
      <c r="T165" s="422">
        <v>0</v>
      </c>
      <c r="U165" s="381">
        <v>0</v>
      </c>
      <c r="V165" s="805">
        <v>0</v>
      </c>
      <c r="W165" s="460">
        <v>0</v>
      </c>
      <c r="X165" s="950">
        <v>0</v>
      </c>
      <c r="Y165" s="241">
        <v>0</v>
      </c>
      <c r="Z165" s="241">
        <v>0</v>
      </c>
      <c r="AA165" s="241">
        <v>0</v>
      </c>
      <c r="AB165" s="241">
        <v>0</v>
      </c>
      <c r="AC165" s="241">
        <v>0</v>
      </c>
      <c r="AD165" s="241">
        <v>0</v>
      </c>
      <c r="AE165" s="241">
        <v>0</v>
      </c>
      <c r="AF165" s="457">
        <v>0</v>
      </c>
      <c r="AG165" s="1091">
        <f>+'P01 2024'!FL113</f>
        <v>55000</v>
      </c>
      <c r="AH165" s="915"/>
      <c r="AI165" s="915"/>
      <c r="AJ165" s="915"/>
      <c r="AK165" s="915"/>
      <c r="AL165" s="916"/>
      <c r="AM165" s="210"/>
      <c r="AN165" s="210"/>
      <c r="AO165" s="210"/>
      <c r="AP165" s="210"/>
      <c r="AQ165" s="210"/>
      <c r="AR165" s="210"/>
      <c r="AS165" s="210"/>
      <c r="AT165" s="210"/>
      <c r="AU165" s="210"/>
      <c r="AV165" s="210"/>
      <c r="AW165" s="210"/>
      <c r="AX165" s="201"/>
      <c r="AY165" s="201"/>
      <c r="AZ165" s="201"/>
      <c r="BA165" s="201"/>
      <c r="BB165" s="201"/>
      <c r="BC165" s="905"/>
      <c r="BD165" s="905"/>
      <c r="BE165" s="577"/>
      <c r="BF165" s="577"/>
      <c r="BG165" s="198"/>
      <c r="BH165" s="581"/>
      <c r="BI165" s="201"/>
      <c r="BJ165" s="412"/>
      <c r="BK165" s="413"/>
      <c r="BL165" s="413"/>
      <c r="BM165" s="412"/>
      <c r="BN165" s="412"/>
      <c r="BO165" s="412"/>
      <c r="BP165" s="412"/>
      <c r="BQ165" s="337"/>
      <c r="BR165" s="337"/>
    </row>
    <row r="166" spans="1:81" ht="15" hidden="1" customHeight="1" x14ac:dyDescent="0.25">
      <c r="B166" s="233" t="s">
        <v>869</v>
      </c>
      <c r="C166" s="964"/>
      <c r="D166" s="304"/>
      <c r="E166" s="514" t="s">
        <v>874</v>
      </c>
      <c r="F166" s="113"/>
      <c r="G166" s="418" t="str">
        <f>+CONCATENATE($C$153,"",$D$162,"",E166)</f>
        <v>24.03.030</v>
      </c>
      <c r="H166" s="814" t="s">
        <v>873</v>
      </c>
      <c r="I166" s="342">
        <v>0</v>
      </c>
      <c r="J166" s="436">
        <v>0</v>
      </c>
      <c r="K166" s="436">
        <f ca="1">SUMIF(T$3:$AG158,"ok",T166:AG166)</f>
        <v>0</v>
      </c>
      <c r="L166" s="563">
        <f t="shared" ca="1" si="24"/>
        <v>0</v>
      </c>
      <c r="M166" s="436">
        <v>0</v>
      </c>
      <c r="N166" s="563">
        <f t="shared" si="25"/>
        <v>0</v>
      </c>
      <c r="O166" s="436">
        <f>J166-M166</f>
        <v>0</v>
      </c>
      <c r="P166" s="228">
        <f t="shared" si="26"/>
        <v>0</v>
      </c>
      <c r="Q166" s="112">
        <v>0</v>
      </c>
      <c r="R166" s="425">
        <f ca="1">SUMIF(T$3:$AG157,"SI",T166:AG166)</f>
        <v>0</v>
      </c>
      <c r="S166" s="227" t="str">
        <f t="shared" ca="1" si="28"/>
        <v>0,00%</v>
      </c>
      <c r="T166" s="422">
        <v>0</v>
      </c>
      <c r="U166" s="805">
        <v>0</v>
      </c>
      <c r="V166" s="805">
        <v>0</v>
      </c>
      <c r="W166" s="441">
        <v>0</v>
      </c>
      <c r="X166" s="944">
        <v>0</v>
      </c>
      <c r="Y166" s="115">
        <v>0</v>
      </c>
      <c r="Z166" s="115">
        <v>0</v>
      </c>
      <c r="AA166" s="115">
        <v>0</v>
      </c>
      <c r="AB166" s="115">
        <v>0</v>
      </c>
      <c r="AC166" s="115">
        <v>0</v>
      </c>
      <c r="AD166" s="115">
        <v>0</v>
      </c>
      <c r="AE166" s="115">
        <v>0</v>
      </c>
      <c r="AF166" s="115">
        <v>0</v>
      </c>
      <c r="AG166" s="1086">
        <v>0</v>
      </c>
      <c r="AH166" s="915"/>
      <c r="AI166" s="915"/>
      <c r="AJ166" s="915"/>
      <c r="AK166" s="915"/>
      <c r="AL166" s="916"/>
      <c r="BB166" s="201"/>
      <c r="BE166" s="577"/>
      <c r="BF166" s="577"/>
      <c r="BG166" s="198"/>
      <c r="BH166" s="580"/>
      <c r="BI166" s="201"/>
      <c r="BK166" s="201"/>
      <c r="BL166" s="201"/>
      <c r="BQ166" s="202"/>
      <c r="BR166" s="202"/>
    </row>
    <row r="167" spans="1:81" s="439" customFormat="1" ht="15" hidden="1" customHeight="1" x14ac:dyDescent="0.25">
      <c r="A167" s="107"/>
      <c r="B167" s="233" t="s">
        <v>913</v>
      </c>
      <c r="C167" s="692"/>
      <c r="D167" s="603"/>
      <c r="E167" s="516" t="s">
        <v>918</v>
      </c>
      <c r="F167" s="461"/>
      <c r="G167" s="434" t="str">
        <f>+CONCATENATE($C$153,"",$D$162,"",E167)</f>
        <v>24.03.043</v>
      </c>
      <c r="H167" s="814" t="s">
        <v>919</v>
      </c>
      <c r="I167" s="342">
        <v>0</v>
      </c>
      <c r="J167" s="436">
        <v>0</v>
      </c>
      <c r="K167" s="436">
        <f ca="1">SUMIF(T$3:$AG159,"ok",T167:AG167)</f>
        <v>0</v>
      </c>
      <c r="L167" s="564">
        <f t="shared" ca="1" si="24"/>
        <v>0</v>
      </c>
      <c r="M167" s="436">
        <v>0</v>
      </c>
      <c r="N167" s="564">
        <f t="shared" si="25"/>
        <v>0</v>
      </c>
      <c r="O167" s="436">
        <f>J167-M167</f>
        <v>0</v>
      </c>
      <c r="P167" s="228">
        <f t="shared" si="26"/>
        <v>0</v>
      </c>
      <c r="Q167" s="112">
        <v>0</v>
      </c>
      <c r="R167" s="425">
        <f ca="1">SUMIF(T$3:$AG158,"SI",T167:AG167)</f>
        <v>0</v>
      </c>
      <c r="S167" s="227" t="str">
        <f t="shared" ca="1" si="28"/>
        <v>0,00%</v>
      </c>
      <c r="T167" s="422">
        <v>0</v>
      </c>
      <c r="U167" s="808">
        <v>0</v>
      </c>
      <c r="V167" s="805">
        <v>0</v>
      </c>
      <c r="W167" s="438"/>
      <c r="X167" s="946"/>
      <c r="Y167" s="241">
        <v>0</v>
      </c>
      <c r="Z167" s="241">
        <v>0</v>
      </c>
      <c r="AA167" s="115">
        <v>0</v>
      </c>
      <c r="AB167" s="115">
        <v>0</v>
      </c>
      <c r="AC167" s="241">
        <f>+'P01 2024'!DB100</f>
        <v>400000</v>
      </c>
      <c r="AD167" s="241">
        <v>0</v>
      </c>
      <c r="AE167" s="241">
        <v>0</v>
      </c>
      <c r="AF167" s="241">
        <v>0</v>
      </c>
      <c r="AG167" s="1010">
        <v>0</v>
      </c>
      <c r="AH167" s="915"/>
      <c r="AI167" s="915"/>
      <c r="AJ167" s="915"/>
      <c r="AK167" s="915"/>
      <c r="AL167" s="916"/>
      <c r="AM167" s="210"/>
      <c r="AN167" s="210"/>
      <c r="AO167" s="210"/>
      <c r="AP167" s="210"/>
      <c r="AQ167" s="210"/>
      <c r="AR167" s="210"/>
      <c r="AS167" s="210"/>
      <c r="AT167" s="210"/>
      <c r="AU167" s="210"/>
      <c r="AV167" s="210"/>
      <c r="AW167" s="210"/>
      <c r="AX167" s="201"/>
      <c r="AY167" s="201"/>
      <c r="AZ167" s="201"/>
      <c r="BA167" s="201"/>
      <c r="BB167" s="201"/>
      <c r="BC167" s="905"/>
      <c r="BD167" s="905"/>
      <c r="BE167" s="577"/>
      <c r="BF167" s="577"/>
      <c r="BG167" s="198"/>
      <c r="BH167" s="580"/>
      <c r="BI167" s="201"/>
      <c r="BJ167" s="210"/>
      <c r="BK167" s="201"/>
      <c r="BL167" s="201"/>
      <c r="BM167" s="210"/>
      <c r="BN167" s="210"/>
      <c r="BO167" s="210"/>
      <c r="BP167" s="210"/>
      <c r="BQ167" s="214"/>
      <c r="BR167" s="214"/>
      <c r="BS167" s="108"/>
      <c r="BT167" s="108"/>
      <c r="BU167" s="108"/>
      <c r="BV167" s="108"/>
      <c r="BW167" s="108"/>
      <c r="BX167" s="108"/>
      <c r="BY167" s="108"/>
      <c r="BZ167" s="108"/>
      <c r="CA167" s="108"/>
      <c r="CB167" s="108"/>
      <c r="CC167" s="108"/>
    </row>
    <row r="168" spans="1:81" ht="15" hidden="1" customHeight="1" x14ac:dyDescent="0.25">
      <c r="B168" s="233" t="s">
        <v>960</v>
      </c>
      <c r="C168" s="964" t="s">
        <v>328</v>
      </c>
      <c r="D168" s="304"/>
      <c r="E168" s="514" t="s">
        <v>697</v>
      </c>
      <c r="F168" s="113"/>
      <c r="G168" s="418" t="s">
        <v>748</v>
      </c>
      <c r="H168" s="456" t="s">
        <v>746</v>
      </c>
      <c r="I168" s="342">
        <v>0</v>
      </c>
      <c r="J168" s="436">
        <v>0</v>
      </c>
      <c r="K168" s="436">
        <f ca="1">SUMIF(T$3:$AG160,"ok",T168:AG168)</f>
        <v>0</v>
      </c>
      <c r="L168" s="564">
        <f t="shared" ca="1" si="24"/>
        <v>0</v>
      </c>
      <c r="M168" s="436">
        <v>0</v>
      </c>
      <c r="N168" s="564">
        <f t="shared" si="25"/>
        <v>0</v>
      </c>
      <c r="O168" s="436">
        <f t="shared" ref="O168:O171" si="30">J168-M168</f>
        <v>0</v>
      </c>
      <c r="P168" s="228">
        <f t="shared" si="26"/>
        <v>0</v>
      </c>
      <c r="Q168" s="112">
        <v>0</v>
      </c>
      <c r="R168" s="425">
        <f ca="1">SUMIF(T$3:$AG159,"SI",T168:AG168)</f>
        <v>0</v>
      </c>
      <c r="S168" s="227" t="str">
        <f t="shared" ref="S168:S183" ca="1" si="31">IFERROR(R168/Q168,"0,00%")</f>
        <v>0,00%</v>
      </c>
      <c r="T168" s="422">
        <v>0</v>
      </c>
      <c r="U168" s="805">
        <v>0</v>
      </c>
      <c r="V168" s="805">
        <v>0</v>
      </c>
      <c r="W168" s="441">
        <v>0</v>
      </c>
      <c r="X168" s="944">
        <v>0</v>
      </c>
      <c r="Y168" s="115">
        <v>0</v>
      </c>
      <c r="Z168" s="115">
        <v>0</v>
      </c>
      <c r="AA168" s="115">
        <v>0</v>
      </c>
      <c r="AB168" s="115">
        <v>0</v>
      </c>
      <c r="AC168" s="241">
        <v>0</v>
      </c>
      <c r="AD168" s="112">
        <v>0</v>
      </c>
      <c r="AE168" s="115">
        <v>0</v>
      </c>
      <c r="AF168" s="115">
        <v>0</v>
      </c>
      <c r="AG168" s="1087">
        <v>0</v>
      </c>
      <c r="AH168" s="915"/>
      <c r="AI168" s="915"/>
      <c r="AJ168" s="915"/>
      <c r="AK168" s="915"/>
      <c r="AL168" s="916"/>
      <c r="BB168" s="201"/>
      <c r="BE168" s="577"/>
      <c r="BF168" s="577"/>
      <c r="BG168" s="198"/>
      <c r="BH168" s="580"/>
      <c r="BI168" s="201"/>
      <c r="BK168" s="201"/>
      <c r="BL168" s="201"/>
      <c r="BQ168" s="202"/>
      <c r="BR168" s="202"/>
    </row>
    <row r="169" spans="1:81" s="439" customFormat="1" ht="15" customHeight="1" x14ac:dyDescent="0.25">
      <c r="A169" s="459"/>
      <c r="B169" s="584" t="s">
        <v>502</v>
      </c>
      <c r="C169" s="692" t="s">
        <v>2</v>
      </c>
      <c r="D169" s="603"/>
      <c r="E169" s="516" t="s">
        <v>254</v>
      </c>
      <c r="F169" s="461"/>
      <c r="G169" s="434" t="str">
        <f>+CONCATENATE($C$153,"",$D$162,"",E169)</f>
        <v>24.03.409</v>
      </c>
      <c r="H169" s="814" t="s">
        <v>258</v>
      </c>
      <c r="I169" s="344">
        <v>0</v>
      </c>
      <c r="J169" s="429">
        <v>0</v>
      </c>
      <c r="K169" s="436">
        <f ca="1">SUMIF(T$3:$AG161,"ok",T169:AG169)</f>
        <v>0</v>
      </c>
      <c r="L169" s="570">
        <f t="shared" ca="1" si="24"/>
        <v>0</v>
      </c>
      <c r="M169" s="429">
        <v>0</v>
      </c>
      <c r="N169" s="570">
        <f t="shared" si="25"/>
        <v>0</v>
      </c>
      <c r="O169" s="436">
        <f t="shared" si="30"/>
        <v>0</v>
      </c>
      <c r="P169" s="693">
        <f t="shared" si="26"/>
        <v>0</v>
      </c>
      <c r="Q169" s="345">
        <f>+'P01 2024'!X127</f>
        <v>117484.458</v>
      </c>
      <c r="R169" s="428">
        <f ca="1">SUMIF(T$3:$AG159,"SI",T169:AG169)</f>
        <v>9353.7339040000006</v>
      </c>
      <c r="S169" s="974">
        <f t="shared" ca="1" si="31"/>
        <v>7.9616777088932056E-2</v>
      </c>
      <c r="T169" s="452">
        <v>0</v>
      </c>
      <c r="U169" s="808">
        <f>+'P01 2024'!K126</f>
        <v>5147.666518</v>
      </c>
      <c r="V169" s="805">
        <v>0</v>
      </c>
      <c r="W169" s="241">
        <f>+'P01 2024'!Q78</f>
        <v>4206.0673859999997</v>
      </c>
      <c r="X169" s="946">
        <f>+'P01 2024'!AE96</f>
        <v>7758.402</v>
      </c>
      <c r="Y169" s="241">
        <f>+'P01 2024'!AT86</f>
        <v>6311.4309999999996</v>
      </c>
      <c r="Z169" s="345">
        <f>+'P01 2024'!BI80</f>
        <v>5347.0410000000002</v>
      </c>
      <c r="AA169" s="241">
        <f>+'P01 2024'!BX95</f>
        <v>5788.2830000000004</v>
      </c>
      <c r="AB169" s="241">
        <f>+'P01 2024'!CM103</f>
        <v>7313.4110000000001</v>
      </c>
      <c r="AC169" s="241">
        <f>+'P01 2024'!DB101</f>
        <v>6278.3410000000003</v>
      </c>
      <c r="AD169" s="241">
        <f>+'P01 2024'!DR95</f>
        <v>6232.0649999999996</v>
      </c>
      <c r="AE169" s="241">
        <f>'P01 2024'!EG94</f>
        <v>8223.634</v>
      </c>
      <c r="AF169" s="345">
        <f>+'P01 2024'!ET92</f>
        <v>9565.768</v>
      </c>
      <c r="AG169" s="1010">
        <f>+'P01 2024'!FL114</f>
        <v>13292.168</v>
      </c>
      <c r="AH169" s="915"/>
      <c r="AI169" s="915"/>
      <c r="AJ169" s="915"/>
      <c r="AK169" s="915"/>
      <c r="AL169" s="916"/>
      <c r="AM169" s="210"/>
      <c r="AN169" s="210"/>
      <c r="AO169" s="210"/>
      <c r="AP169" s="210"/>
      <c r="AQ169" s="210"/>
      <c r="AR169" s="210"/>
      <c r="AS169" s="210"/>
      <c r="AT169" s="210"/>
      <c r="AU169" s="210"/>
      <c r="AV169" s="210"/>
      <c r="AW169" s="210"/>
      <c r="AX169" s="201"/>
      <c r="AY169" s="201"/>
      <c r="AZ169" s="201"/>
      <c r="BA169" s="201"/>
      <c r="BB169" s="201"/>
      <c r="BC169" s="905"/>
      <c r="BD169" s="905"/>
      <c r="BE169" s="577"/>
      <c r="BF169" s="577"/>
      <c r="BG169" s="198"/>
      <c r="BH169" s="580"/>
      <c r="BI169" s="201"/>
      <c r="BJ169" s="258"/>
      <c r="BK169" s="211"/>
      <c r="BL169" s="211"/>
      <c r="BM169" s="258"/>
      <c r="BN169" s="258"/>
      <c r="BO169" s="258"/>
      <c r="BP169" s="258"/>
      <c r="BQ169" s="214"/>
      <c r="BR169" s="214"/>
    </row>
    <row r="170" spans="1:81" ht="15" hidden="1" customHeight="1" x14ac:dyDescent="0.25">
      <c r="B170" s="233" t="s">
        <v>961</v>
      </c>
      <c r="C170" s="964"/>
      <c r="D170" s="304"/>
      <c r="E170" s="514" t="s">
        <v>779</v>
      </c>
      <c r="F170" s="113"/>
      <c r="G170" s="418" t="s">
        <v>769</v>
      </c>
      <c r="H170" s="814" t="s">
        <v>768</v>
      </c>
      <c r="I170" s="342">
        <v>0</v>
      </c>
      <c r="J170" s="436">
        <v>0</v>
      </c>
      <c r="K170" s="436">
        <f ca="1">SUMIF(T$3:$AG162,"ok",T170:AG170)</f>
        <v>0</v>
      </c>
      <c r="L170" s="564">
        <f t="shared" ca="1" si="24"/>
        <v>0</v>
      </c>
      <c r="M170" s="436">
        <v>0</v>
      </c>
      <c r="N170" s="564">
        <f t="shared" si="25"/>
        <v>0</v>
      </c>
      <c r="O170" s="436">
        <f t="shared" si="30"/>
        <v>0</v>
      </c>
      <c r="P170" s="228">
        <f t="shared" si="26"/>
        <v>0</v>
      </c>
      <c r="Q170" s="112">
        <v>0</v>
      </c>
      <c r="R170" s="425">
        <f ca="1">SUMIF(T$3:$AG160,"SI",T170:AG170)</f>
        <v>0</v>
      </c>
      <c r="S170" s="227" t="str">
        <f t="shared" ca="1" si="31"/>
        <v>0,00%</v>
      </c>
      <c r="T170" s="422">
        <v>0</v>
      </c>
      <c r="U170" s="805">
        <v>0</v>
      </c>
      <c r="V170" s="805">
        <v>0</v>
      </c>
      <c r="W170" s="115">
        <v>0</v>
      </c>
      <c r="X170" s="944">
        <v>0</v>
      </c>
      <c r="Y170" s="115">
        <v>0</v>
      </c>
      <c r="Z170" s="115">
        <v>0</v>
      </c>
      <c r="AA170" s="115">
        <v>0</v>
      </c>
      <c r="AB170" s="115">
        <v>0</v>
      </c>
      <c r="AC170" s="241">
        <v>0</v>
      </c>
      <c r="AD170" s="112">
        <v>0</v>
      </c>
      <c r="AE170" s="115">
        <v>0</v>
      </c>
      <c r="AF170" s="115">
        <v>0</v>
      </c>
      <c r="AG170" s="1086">
        <v>0</v>
      </c>
      <c r="AH170" s="915"/>
      <c r="AI170" s="915"/>
      <c r="AJ170" s="915"/>
      <c r="AK170" s="915"/>
      <c r="AL170" s="916"/>
      <c r="BB170" s="201"/>
      <c r="BE170" s="577"/>
      <c r="BF170" s="577"/>
      <c r="BG170" s="198"/>
      <c r="BH170" s="580"/>
      <c r="BI170" s="201"/>
      <c r="BK170" s="201"/>
      <c r="BL170" s="201"/>
      <c r="BQ170" s="202"/>
      <c r="BR170" s="202"/>
    </row>
    <row r="171" spans="1:81" ht="15" hidden="1" customHeight="1" x14ac:dyDescent="0.25">
      <c r="B171" s="233" t="s">
        <v>962</v>
      </c>
      <c r="C171" s="964" t="s">
        <v>2</v>
      </c>
      <c r="D171" s="304"/>
      <c r="E171" s="514" t="s">
        <v>255</v>
      </c>
      <c r="F171" s="113"/>
      <c r="G171" s="418" t="str">
        <f>+CONCATENATE($C$153,"",$D$162,"",E171)</f>
        <v>24.03.415</v>
      </c>
      <c r="H171" s="814" t="s">
        <v>259</v>
      </c>
      <c r="I171" s="342">
        <v>0</v>
      </c>
      <c r="J171" s="436">
        <v>0</v>
      </c>
      <c r="K171" s="436">
        <f ca="1">SUMIF(T$3:$AG163,"ok",T171:AG171)</f>
        <v>0</v>
      </c>
      <c r="L171" s="564">
        <f t="shared" ca="1" si="24"/>
        <v>0</v>
      </c>
      <c r="M171" s="436">
        <v>0</v>
      </c>
      <c r="N171" s="564">
        <f t="shared" si="25"/>
        <v>0</v>
      </c>
      <c r="O171" s="436">
        <f t="shared" si="30"/>
        <v>0</v>
      </c>
      <c r="P171" s="228">
        <f t="shared" si="26"/>
        <v>0</v>
      </c>
      <c r="Q171" s="112">
        <v>0</v>
      </c>
      <c r="R171" s="425">
        <f ca="1">SUMIF(T$3:$AG161,"SI",T171:AG171)</f>
        <v>0</v>
      </c>
      <c r="S171" s="227" t="str">
        <f t="shared" ca="1" si="31"/>
        <v>0,00%</v>
      </c>
      <c r="T171" s="422">
        <v>0</v>
      </c>
      <c r="U171" s="805">
        <v>0</v>
      </c>
      <c r="V171" s="805">
        <v>0</v>
      </c>
      <c r="W171" s="115">
        <v>0</v>
      </c>
      <c r="X171" s="944">
        <v>0</v>
      </c>
      <c r="Y171" s="115">
        <v>0</v>
      </c>
      <c r="Z171" s="115">
        <v>0</v>
      </c>
      <c r="AA171" s="115">
        <v>0</v>
      </c>
      <c r="AB171" s="115">
        <v>0</v>
      </c>
      <c r="AC171" s="241">
        <v>0</v>
      </c>
      <c r="AD171" s="112">
        <v>0</v>
      </c>
      <c r="AE171" s="115">
        <v>0</v>
      </c>
      <c r="AF171" s="115">
        <v>0</v>
      </c>
      <c r="AG171" s="1086">
        <v>0</v>
      </c>
      <c r="AH171" s="915"/>
      <c r="AI171" s="915"/>
      <c r="AJ171" s="915"/>
      <c r="AK171" s="915"/>
      <c r="AL171" s="916"/>
      <c r="BB171" s="201"/>
      <c r="BE171" s="577"/>
      <c r="BF171" s="577"/>
      <c r="BG171" s="198"/>
      <c r="BH171" s="580"/>
      <c r="BI171" s="201"/>
      <c r="BK171" s="201"/>
      <c r="BL171" s="201"/>
      <c r="BQ171" s="202"/>
      <c r="BR171" s="202"/>
    </row>
    <row r="172" spans="1:81" ht="15" hidden="1" customHeight="1" x14ac:dyDescent="0.25">
      <c r="B172" s="233" t="s">
        <v>473</v>
      </c>
      <c r="C172" s="961" t="s">
        <v>2</v>
      </c>
      <c r="D172" s="518" t="s">
        <v>181</v>
      </c>
      <c r="E172" s="326"/>
      <c r="F172" s="326"/>
      <c r="G172" s="326"/>
      <c r="H172" s="901" t="s">
        <v>134</v>
      </c>
      <c r="I172" s="195">
        <v>0</v>
      </c>
      <c r="J172" s="415">
        <v>0</v>
      </c>
      <c r="K172" s="415">
        <f ca="1">SUMIF(T$3:$AG164,"ok",T172:AG172)</f>
        <v>0</v>
      </c>
      <c r="L172" s="562">
        <f t="shared" ca="1" si="24"/>
        <v>0</v>
      </c>
      <c r="M172" s="415">
        <v>0</v>
      </c>
      <c r="N172" s="562">
        <f t="shared" si="25"/>
        <v>0</v>
      </c>
      <c r="O172" s="415">
        <f t="shared" ref="O172:O184" si="32">J172-M172</f>
        <v>0</v>
      </c>
      <c r="P172" s="691">
        <f t="shared" si="26"/>
        <v>0</v>
      </c>
      <c r="Q172" s="442">
        <v>0</v>
      </c>
      <c r="R172" s="442">
        <f ca="1">SUMIF(T$3:$AG159,"SI",T172:AG172)</f>
        <v>0</v>
      </c>
      <c r="S172" s="562" t="str">
        <f t="shared" ca="1" si="31"/>
        <v>0,00%</v>
      </c>
      <c r="T172" s="806">
        <v>0</v>
      </c>
      <c r="U172" s="804">
        <v>0</v>
      </c>
      <c r="V172" s="804">
        <v>0</v>
      </c>
      <c r="W172" s="416">
        <v>0</v>
      </c>
      <c r="X172" s="943">
        <v>0</v>
      </c>
      <c r="Y172" s="109">
        <v>0</v>
      </c>
      <c r="Z172" s="109">
        <v>0</v>
      </c>
      <c r="AA172" s="109">
        <f>+'P01 2024'!BX96</f>
        <v>260000</v>
      </c>
      <c r="AB172" s="109">
        <f>+'P01 2024'!CM104</f>
        <v>244285.98800000001</v>
      </c>
      <c r="AC172" s="109">
        <v>0</v>
      </c>
      <c r="AD172" s="109">
        <v>0</v>
      </c>
      <c r="AE172" s="109">
        <f>SUM(AE173:AE179)</f>
        <v>0</v>
      </c>
      <c r="AF172" s="109">
        <v>0</v>
      </c>
      <c r="AG172" s="1006">
        <f>+'P01 2024'!FL115</f>
        <v>510600</v>
      </c>
      <c r="AH172" s="915"/>
      <c r="AI172" s="915"/>
      <c r="AJ172" s="915"/>
      <c r="AK172" s="915"/>
      <c r="AL172" s="916"/>
      <c r="BB172" s="201"/>
      <c r="BE172" s="577"/>
      <c r="BF172" s="577"/>
      <c r="BG172" s="198"/>
      <c r="BH172" s="580"/>
      <c r="BI172" s="201"/>
      <c r="BK172" s="201"/>
      <c r="BL172" s="201"/>
      <c r="BQ172" s="202"/>
      <c r="BR172" s="202"/>
    </row>
    <row r="173" spans="1:81" s="439" customFormat="1" ht="15" hidden="1" customHeight="1" x14ac:dyDescent="0.25">
      <c r="A173" s="459"/>
      <c r="B173" s="584" t="s">
        <v>578</v>
      </c>
      <c r="C173" s="692"/>
      <c r="D173" s="606"/>
      <c r="E173" s="517" t="s">
        <v>680</v>
      </c>
      <c r="F173" s="461"/>
      <c r="G173" s="434" t="s">
        <v>241</v>
      </c>
      <c r="H173" s="814" t="s">
        <v>679</v>
      </c>
      <c r="I173" s="342">
        <v>0</v>
      </c>
      <c r="J173" s="436">
        <v>0</v>
      </c>
      <c r="K173" s="436">
        <f ca="1">SUMIF(T$3:$AG165,"ok",T173:AG173)</f>
        <v>0</v>
      </c>
      <c r="L173" s="572">
        <f t="shared" ca="1" si="24"/>
        <v>0</v>
      </c>
      <c r="M173" s="460">
        <v>0</v>
      </c>
      <c r="N173" s="572">
        <f t="shared" si="25"/>
        <v>0</v>
      </c>
      <c r="O173" s="460">
        <f t="shared" si="32"/>
        <v>0</v>
      </c>
      <c r="P173" s="693">
        <f t="shared" si="26"/>
        <v>0</v>
      </c>
      <c r="Q173" s="112">
        <v>0</v>
      </c>
      <c r="R173" s="428">
        <f ca="1">SUMIF(T$3:$AG157,"SI",T173:AG173)</f>
        <v>0</v>
      </c>
      <c r="S173" s="974" t="str">
        <f t="shared" ca="1" si="31"/>
        <v>0,00%</v>
      </c>
      <c r="T173" s="422">
        <v>0</v>
      </c>
      <c r="U173" s="808">
        <v>0</v>
      </c>
      <c r="V173" s="805">
        <v>0</v>
      </c>
      <c r="W173" s="241">
        <v>0</v>
      </c>
      <c r="X173" s="946">
        <v>0</v>
      </c>
      <c r="Y173" s="241">
        <v>0</v>
      </c>
      <c r="Z173" s="241">
        <v>0</v>
      </c>
      <c r="AA173" s="241">
        <v>0</v>
      </c>
      <c r="AB173" s="241">
        <v>0</v>
      </c>
      <c r="AC173" s="241">
        <v>0</v>
      </c>
      <c r="AD173" s="345">
        <v>0</v>
      </c>
      <c r="AE173" s="241">
        <v>0</v>
      </c>
      <c r="AF173" s="345">
        <v>0</v>
      </c>
      <c r="AG173" s="1003">
        <v>0</v>
      </c>
      <c r="AH173" s="915"/>
      <c r="AI173" s="915"/>
      <c r="AJ173" s="915"/>
      <c r="AK173" s="915"/>
      <c r="AL173" s="916"/>
      <c r="AM173" s="210"/>
      <c r="AN173" s="210"/>
      <c r="AO173" s="210"/>
      <c r="AP173" s="210"/>
      <c r="AQ173" s="210"/>
      <c r="AR173" s="210"/>
      <c r="AS173" s="210"/>
      <c r="AT173" s="210"/>
      <c r="AU173" s="210"/>
      <c r="AV173" s="210"/>
      <c r="AW173" s="210"/>
      <c r="AX173" s="201"/>
      <c r="AY173" s="201"/>
      <c r="AZ173" s="201"/>
      <c r="BA173" s="201"/>
      <c r="BB173" s="201"/>
      <c r="BC173" s="905"/>
      <c r="BD173" s="905"/>
      <c r="BE173" s="577"/>
      <c r="BF173" s="577"/>
      <c r="BG173" s="198"/>
      <c r="BH173" s="580"/>
      <c r="BI173" s="201"/>
      <c r="BJ173" s="258"/>
      <c r="BK173" s="211"/>
      <c r="BL173" s="211"/>
      <c r="BM173" s="258"/>
      <c r="BN173" s="258"/>
      <c r="BO173" s="258"/>
      <c r="BP173" s="258"/>
      <c r="BQ173" s="214"/>
      <c r="BR173" s="214"/>
    </row>
    <row r="174" spans="1:81" s="459" customFormat="1" ht="15" hidden="1" customHeight="1" x14ac:dyDescent="0.25">
      <c r="B174" s="584" t="s">
        <v>914</v>
      </c>
      <c r="C174" s="692" t="s">
        <v>328</v>
      </c>
      <c r="D174" s="606"/>
      <c r="E174" s="406" t="s">
        <v>681</v>
      </c>
      <c r="F174" s="354"/>
      <c r="G174" s="355" t="s">
        <v>317</v>
      </c>
      <c r="H174" s="588" t="s">
        <v>318</v>
      </c>
      <c r="I174" s="342">
        <v>0</v>
      </c>
      <c r="J174" s="436">
        <v>0</v>
      </c>
      <c r="K174" s="436">
        <f ca="1">SUMIF(T$3:$AG166,"ok",T174:AG174)</f>
        <v>0</v>
      </c>
      <c r="L174" s="570">
        <f t="shared" ca="1" si="24"/>
        <v>0</v>
      </c>
      <c r="M174" s="436">
        <v>0</v>
      </c>
      <c r="N174" s="570">
        <f t="shared" si="25"/>
        <v>0</v>
      </c>
      <c r="O174" s="436">
        <f t="shared" si="32"/>
        <v>0</v>
      </c>
      <c r="P174" s="693">
        <f t="shared" si="26"/>
        <v>0</v>
      </c>
      <c r="Q174" s="112">
        <v>0</v>
      </c>
      <c r="R174" s="193">
        <f ca="1">SUMIF(T$3:$AG158,"SI",T174:AG174)</f>
        <v>0</v>
      </c>
      <c r="S174" s="974" t="str">
        <f t="shared" ca="1" si="31"/>
        <v>0,00%</v>
      </c>
      <c r="T174" s="422">
        <v>0</v>
      </c>
      <c r="U174" s="808">
        <v>0</v>
      </c>
      <c r="V174" s="805">
        <v>0</v>
      </c>
      <c r="W174" s="241">
        <v>0</v>
      </c>
      <c r="X174" s="946">
        <v>0</v>
      </c>
      <c r="Y174" s="241">
        <v>0</v>
      </c>
      <c r="Z174" s="241">
        <v>0</v>
      </c>
      <c r="AA174" s="241">
        <v>0</v>
      </c>
      <c r="AB174" s="241">
        <f>+'P01 2024'!CM105</f>
        <v>135527.98800000001</v>
      </c>
      <c r="AC174" s="241">
        <v>0</v>
      </c>
      <c r="AD174" s="241">
        <v>0</v>
      </c>
      <c r="AE174" s="241">
        <v>0</v>
      </c>
      <c r="AF174" s="241">
        <v>0</v>
      </c>
      <c r="AG174" s="1004">
        <f>+'P01 2024'!FL116</f>
        <v>300000</v>
      </c>
      <c r="AH174" s="915"/>
      <c r="AI174" s="915"/>
      <c r="AJ174" s="915"/>
      <c r="AK174" s="915"/>
      <c r="AL174" s="916"/>
      <c r="AM174" s="210"/>
      <c r="AN174" s="210"/>
      <c r="AO174" s="210"/>
      <c r="AP174" s="210"/>
      <c r="AQ174" s="210"/>
      <c r="AR174" s="210"/>
      <c r="AS174" s="210"/>
      <c r="AT174" s="210"/>
      <c r="AU174" s="210"/>
      <c r="AV174" s="210"/>
      <c r="AW174" s="210"/>
      <c r="AX174" s="201"/>
      <c r="AY174" s="201"/>
      <c r="AZ174" s="201"/>
      <c r="BA174" s="201"/>
      <c r="BB174" s="201"/>
      <c r="BC174" s="905"/>
      <c r="BD174" s="905"/>
      <c r="BE174" s="577"/>
      <c r="BF174" s="577"/>
      <c r="BG174" s="198"/>
      <c r="BH174" s="580"/>
      <c r="BI174" s="201"/>
      <c r="BJ174" s="258"/>
      <c r="BK174" s="211"/>
      <c r="BL174" s="211"/>
      <c r="BM174" s="258"/>
      <c r="BN174" s="258"/>
      <c r="BO174" s="258"/>
      <c r="BP174" s="258"/>
      <c r="BQ174" s="337"/>
      <c r="BR174" s="337"/>
    </row>
    <row r="175" spans="1:81" ht="15" hidden="1" customHeight="1" x14ac:dyDescent="0.25">
      <c r="B175" s="233" t="s">
        <v>963</v>
      </c>
      <c r="C175" s="964"/>
      <c r="D175" s="605"/>
      <c r="E175" s="328" t="s">
        <v>327</v>
      </c>
      <c r="F175" s="113"/>
      <c r="G175" s="418" t="s">
        <v>678</v>
      </c>
      <c r="H175" s="814" t="s">
        <v>478</v>
      </c>
      <c r="I175" s="342">
        <v>0</v>
      </c>
      <c r="J175" s="436">
        <v>0</v>
      </c>
      <c r="K175" s="436">
        <f ca="1">SUMIF(T$3:$AG167,"ok",T175:AG175)</f>
        <v>0</v>
      </c>
      <c r="L175" s="565">
        <f t="shared" ref="L175:L188" ca="1" si="33">IFERROR(K175/J175,0)</f>
        <v>0</v>
      </c>
      <c r="M175" s="460">
        <v>0</v>
      </c>
      <c r="N175" s="565">
        <f t="shared" ref="N175:N185" si="34">+IFERROR(M175/J175,0%)</f>
        <v>0</v>
      </c>
      <c r="O175" s="460">
        <f t="shared" si="32"/>
        <v>0</v>
      </c>
      <c r="P175" s="228">
        <f t="shared" si="26"/>
        <v>0</v>
      </c>
      <c r="Q175" s="112">
        <v>0</v>
      </c>
      <c r="R175" s="425">
        <f ca="1">SUMIF(T$3:$AG159,"SI",T175:AG175)</f>
        <v>0</v>
      </c>
      <c r="S175" s="227" t="str">
        <f t="shared" ca="1" si="31"/>
        <v>0,00%</v>
      </c>
      <c r="T175" s="422">
        <v>0</v>
      </c>
      <c r="U175" s="805">
        <v>0</v>
      </c>
      <c r="V175" s="805">
        <v>0</v>
      </c>
      <c r="W175" s="115">
        <v>0</v>
      </c>
      <c r="X175" s="944">
        <v>0</v>
      </c>
      <c r="Y175" s="115">
        <v>0</v>
      </c>
      <c r="Z175" s="115">
        <v>0</v>
      </c>
      <c r="AA175" s="115">
        <v>0</v>
      </c>
      <c r="AB175" s="115">
        <v>0</v>
      </c>
      <c r="AC175" s="241">
        <v>0</v>
      </c>
      <c r="AD175" s="112">
        <v>0</v>
      </c>
      <c r="AE175" s="115">
        <v>0</v>
      </c>
      <c r="AF175" s="112">
        <v>0</v>
      </c>
      <c r="AG175" s="1087">
        <v>0</v>
      </c>
      <c r="AH175" s="915"/>
      <c r="AI175" s="915"/>
      <c r="AJ175" s="915"/>
      <c r="AK175" s="915"/>
      <c r="AL175" s="916"/>
      <c r="BB175" s="201"/>
      <c r="BE175" s="577"/>
      <c r="BF175" s="577"/>
      <c r="BG175" s="198"/>
      <c r="BH175" s="580"/>
      <c r="BI175" s="201"/>
      <c r="BK175" s="201"/>
      <c r="BL175" s="201"/>
      <c r="BQ175" s="202"/>
      <c r="BR175" s="202"/>
    </row>
    <row r="176" spans="1:81" ht="15" hidden="1" customHeight="1" x14ac:dyDescent="0.25">
      <c r="B176" s="233" t="s">
        <v>579</v>
      </c>
      <c r="C176" s="964"/>
      <c r="D176" s="605"/>
      <c r="E176" s="328" t="s">
        <v>310</v>
      </c>
      <c r="F176" s="113"/>
      <c r="G176" s="418" t="s">
        <v>682</v>
      </c>
      <c r="H176" s="814" t="s">
        <v>683</v>
      </c>
      <c r="I176" s="342">
        <v>0</v>
      </c>
      <c r="J176" s="436">
        <v>0</v>
      </c>
      <c r="K176" s="436">
        <f ca="1">SUMIF(T$3:$AG168,"ok",T176:AG176)</f>
        <v>0</v>
      </c>
      <c r="L176" s="564">
        <f t="shared" ca="1" si="33"/>
        <v>0</v>
      </c>
      <c r="M176" s="436">
        <v>0</v>
      </c>
      <c r="N176" s="564">
        <f t="shared" si="34"/>
        <v>0</v>
      </c>
      <c r="O176" s="436">
        <f t="shared" si="32"/>
        <v>0</v>
      </c>
      <c r="P176" s="228">
        <f t="shared" si="26"/>
        <v>0</v>
      </c>
      <c r="Q176" s="112">
        <v>0</v>
      </c>
      <c r="R176" s="425">
        <f ca="1">SUMIF(T$3:$AG160,"SI",T176:AG176)</f>
        <v>0</v>
      </c>
      <c r="S176" s="227" t="str">
        <f t="shared" ca="1" si="31"/>
        <v>0,00%</v>
      </c>
      <c r="T176" s="422">
        <v>0</v>
      </c>
      <c r="U176" s="805">
        <v>0</v>
      </c>
      <c r="V176" s="805">
        <v>0</v>
      </c>
      <c r="W176" s="115">
        <v>0</v>
      </c>
      <c r="X176" s="944">
        <v>0</v>
      </c>
      <c r="Y176" s="115">
        <v>0</v>
      </c>
      <c r="Z176" s="115">
        <v>0</v>
      </c>
      <c r="AA176" s="115">
        <v>0</v>
      </c>
      <c r="AB176" s="115">
        <f>+'P01 2024'!CM106</f>
        <v>108758</v>
      </c>
      <c r="AC176" s="115">
        <v>0</v>
      </c>
      <c r="AD176" s="112">
        <v>0</v>
      </c>
      <c r="AE176" s="115">
        <v>0</v>
      </c>
      <c r="AF176" s="112">
        <v>0</v>
      </c>
      <c r="AG176" s="1087">
        <v>0</v>
      </c>
      <c r="AH176" s="915"/>
      <c r="AI176" s="915"/>
      <c r="AJ176" s="915"/>
      <c r="AK176" s="915"/>
      <c r="AL176" s="916"/>
      <c r="BB176" s="201"/>
      <c r="BE176" s="577"/>
      <c r="BF176" s="577"/>
      <c r="BG176" s="198"/>
      <c r="BH176" s="580"/>
      <c r="BI176" s="201"/>
      <c r="BK176" s="201"/>
      <c r="BL176" s="201"/>
      <c r="BQ176" s="202"/>
      <c r="BR176" s="202"/>
    </row>
    <row r="177" spans="1:69" ht="15" hidden="1" customHeight="1" x14ac:dyDescent="0.25">
      <c r="B177" s="233" t="s">
        <v>759</v>
      </c>
      <c r="C177" s="964"/>
      <c r="D177" s="605"/>
      <c r="E177" s="328">
        <v>8</v>
      </c>
      <c r="F177" s="113"/>
      <c r="G177" s="418" t="s">
        <v>761</v>
      </c>
      <c r="H177" s="814" t="s">
        <v>760</v>
      </c>
      <c r="I177" s="342">
        <v>0</v>
      </c>
      <c r="J177" s="436">
        <v>0</v>
      </c>
      <c r="K177" s="436">
        <f ca="1">SUMIF(T$3:$AG169,"ok",T177:AG177)</f>
        <v>0</v>
      </c>
      <c r="L177" s="565">
        <f t="shared" ca="1" si="33"/>
        <v>0</v>
      </c>
      <c r="M177" s="460">
        <v>0</v>
      </c>
      <c r="N177" s="565">
        <f t="shared" si="34"/>
        <v>0</v>
      </c>
      <c r="O177" s="460">
        <f t="shared" si="32"/>
        <v>0</v>
      </c>
      <c r="P177" s="228">
        <f t="shared" si="26"/>
        <v>0</v>
      </c>
      <c r="Q177" s="112">
        <v>0</v>
      </c>
      <c r="R177" s="425">
        <f ca="1">SUMIF(T$3:$AG161,"SI",T177:AG177)</f>
        <v>0</v>
      </c>
      <c r="S177" s="227" t="str">
        <f t="shared" ca="1" si="31"/>
        <v>0,00%</v>
      </c>
      <c r="T177" s="422">
        <v>0</v>
      </c>
      <c r="U177" s="805">
        <v>0</v>
      </c>
      <c r="V177" s="805">
        <v>0</v>
      </c>
      <c r="W177" s="115">
        <v>0</v>
      </c>
      <c r="X177" s="944">
        <v>0</v>
      </c>
      <c r="Y177" s="115">
        <v>0</v>
      </c>
      <c r="Z177" s="115">
        <v>0</v>
      </c>
      <c r="AA177" s="115">
        <v>0</v>
      </c>
      <c r="AB177" s="115">
        <v>0</v>
      </c>
      <c r="AC177" s="241">
        <v>0</v>
      </c>
      <c r="AD177" s="112">
        <v>0</v>
      </c>
      <c r="AE177" s="115">
        <v>0</v>
      </c>
      <c r="AF177" s="112">
        <v>0</v>
      </c>
      <c r="AG177" s="1086">
        <v>0</v>
      </c>
      <c r="AH177" s="915"/>
      <c r="AI177" s="915"/>
      <c r="AJ177" s="915"/>
      <c r="AK177" s="915"/>
      <c r="AL177" s="916"/>
      <c r="BB177" s="201"/>
      <c r="BE177" s="577"/>
      <c r="BF177" s="577"/>
      <c r="BG177" s="198"/>
      <c r="BH177" s="580"/>
      <c r="BI177" s="201"/>
      <c r="BK177" s="201"/>
      <c r="BL177" s="201"/>
      <c r="BQ177" s="108"/>
    </row>
    <row r="178" spans="1:69" ht="15" hidden="1" customHeight="1" x14ac:dyDescent="0.25">
      <c r="B178" s="233" t="s">
        <v>915</v>
      </c>
      <c r="C178" s="964"/>
      <c r="D178" s="605"/>
      <c r="E178" s="328">
        <v>9</v>
      </c>
      <c r="F178" s="113"/>
      <c r="G178" s="418" t="s">
        <v>921</v>
      </c>
      <c r="H178" s="814" t="s">
        <v>922</v>
      </c>
      <c r="I178" s="342">
        <v>0</v>
      </c>
      <c r="J178" s="436">
        <v>0</v>
      </c>
      <c r="K178" s="436">
        <f ca="1">SUMIF(T$3:$AG170,"ok",T178:AG178)</f>
        <v>0</v>
      </c>
      <c r="L178" s="564">
        <f t="shared" ca="1" si="33"/>
        <v>0</v>
      </c>
      <c r="M178" s="436">
        <v>0</v>
      </c>
      <c r="N178" s="564">
        <f t="shared" si="34"/>
        <v>0</v>
      </c>
      <c r="O178" s="436">
        <f t="shared" si="32"/>
        <v>0</v>
      </c>
      <c r="P178" s="228">
        <f t="shared" si="26"/>
        <v>0</v>
      </c>
      <c r="Q178" s="112">
        <v>0</v>
      </c>
      <c r="R178" s="425">
        <f ca="1">SUMIF(T$3:$AG162,"SI",T178:AG178)</f>
        <v>0</v>
      </c>
      <c r="S178" s="227" t="str">
        <f t="shared" ca="1" si="31"/>
        <v>0,00%</v>
      </c>
      <c r="T178" s="422">
        <v>0</v>
      </c>
      <c r="U178" s="805">
        <v>0</v>
      </c>
      <c r="V178" s="805">
        <v>0</v>
      </c>
      <c r="W178" s="115"/>
      <c r="X178" s="944"/>
      <c r="Y178" s="115">
        <v>0</v>
      </c>
      <c r="Z178" s="115">
        <v>0</v>
      </c>
      <c r="AA178" s="115">
        <f>+'P01 2024'!BX96</f>
        <v>260000</v>
      </c>
      <c r="AB178" s="115">
        <v>0</v>
      </c>
      <c r="AC178" s="115">
        <v>0</v>
      </c>
      <c r="AD178" s="112">
        <v>0</v>
      </c>
      <c r="AE178" s="115">
        <v>0</v>
      </c>
      <c r="AF178" s="112">
        <v>0</v>
      </c>
      <c r="AG178" s="1086">
        <v>0</v>
      </c>
      <c r="AH178" s="915"/>
      <c r="AI178" s="915"/>
      <c r="AJ178" s="915"/>
      <c r="AK178" s="915"/>
      <c r="AL178" s="916"/>
      <c r="BB178" s="201"/>
      <c r="BE178" s="577"/>
      <c r="BF178" s="577"/>
      <c r="BG178" s="198"/>
      <c r="BH178" s="580"/>
      <c r="BI178" s="201"/>
      <c r="BK178" s="201"/>
      <c r="BL178" s="201"/>
      <c r="BQ178" s="108"/>
    </row>
    <row r="179" spans="1:69" ht="15" hidden="1" customHeight="1" x14ac:dyDescent="0.25">
      <c r="B179" s="233" t="s">
        <v>967</v>
      </c>
      <c r="C179" s="964"/>
      <c r="D179" s="605"/>
      <c r="E179" s="328">
        <v>10</v>
      </c>
      <c r="F179" s="113"/>
      <c r="G179" s="418" t="s">
        <v>968</v>
      </c>
      <c r="H179" s="814" t="s">
        <v>969</v>
      </c>
      <c r="I179" s="342">
        <v>0</v>
      </c>
      <c r="J179" s="436">
        <v>0</v>
      </c>
      <c r="K179" s="436">
        <f ca="1">SUMIF(T$3:$AG171,"ok",T179:AG179)</f>
        <v>0</v>
      </c>
      <c r="L179" s="564">
        <f t="shared" ca="1" si="33"/>
        <v>0</v>
      </c>
      <c r="M179" s="436">
        <v>0</v>
      </c>
      <c r="N179" s="564">
        <f t="shared" si="34"/>
        <v>0</v>
      </c>
      <c r="O179" s="436">
        <f t="shared" si="32"/>
        <v>0</v>
      </c>
      <c r="P179" s="228">
        <f t="shared" si="26"/>
        <v>0</v>
      </c>
      <c r="Q179" s="112">
        <v>0</v>
      </c>
      <c r="R179" s="425">
        <f ca="1">SUMIF(T$3:$AG163,"SI",T179:AG179)</f>
        <v>0</v>
      </c>
      <c r="S179" s="227" t="str">
        <f t="shared" ca="1" si="31"/>
        <v>0,00%</v>
      </c>
      <c r="T179" s="422">
        <v>0</v>
      </c>
      <c r="U179" s="805">
        <v>0</v>
      </c>
      <c r="V179" s="805">
        <v>0</v>
      </c>
      <c r="W179" s="115"/>
      <c r="X179" s="944"/>
      <c r="Y179" s="115"/>
      <c r="Z179" s="115"/>
      <c r="AA179" s="115"/>
      <c r="AB179" s="115"/>
      <c r="AC179" s="115"/>
      <c r="AD179" s="112">
        <v>0</v>
      </c>
      <c r="AE179" s="115">
        <v>0</v>
      </c>
      <c r="AF179" s="112">
        <v>0</v>
      </c>
      <c r="AG179" s="1086">
        <f>+'P01 2024'!FL117</f>
        <v>210600</v>
      </c>
      <c r="AH179" s="915"/>
      <c r="AI179" s="915"/>
      <c r="AJ179" s="915"/>
      <c r="AK179" s="915"/>
      <c r="AL179" s="916"/>
      <c r="BB179" s="201"/>
      <c r="BE179" s="577"/>
      <c r="BF179" s="577"/>
      <c r="BG179" s="198"/>
      <c r="BH179" s="580"/>
      <c r="BI179" s="201"/>
      <c r="BK179" s="201"/>
      <c r="BL179" s="201"/>
      <c r="BQ179" s="108"/>
    </row>
    <row r="180" spans="1:69" ht="15" customHeight="1" x14ac:dyDescent="0.25">
      <c r="B180" s="1108" t="s">
        <v>1015</v>
      </c>
      <c r="C180" s="464"/>
      <c r="D180" s="304" t="s">
        <v>183</v>
      </c>
      <c r="E180" s="328"/>
      <c r="F180" s="113"/>
      <c r="G180" s="419"/>
      <c r="H180" s="899" t="s">
        <v>1018</v>
      </c>
      <c r="I180" s="712">
        <f>+'P01 2025'!F127</f>
        <v>82763</v>
      </c>
      <c r="J180" s="333">
        <f>+'P01 2025'!U130</f>
        <v>82763</v>
      </c>
      <c r="K180" s="333">
        <f ca="1">SUMIF(T$3:$AG172,"ok",T180:AG180)</f>
        <v>14426.592000000001</v>
      </c>
      <c r="L180" s="571">
        <f t="shared" ca="1" si="33"/>
        <v>0.17431209598492081</v>
      </c>
      <c r="M180" s="333">
        <f>+'P01 2025'!W130</f>
        <v>81409.551999999996</v>
      </c>
      <c r="N180" s="571">
        <f t="shared" si="34"/>
        <v>0.98364670202868432</v>
      </c>
      <c r="O180" s="333">
        <f t="shared" si="32"/>
        <v>1353.448000000004</v>
      </c>
      <c r="P180" s="228">
        <f t="shared" si="26"/>
        <v>1.6353297971315732E-2</v>
      </c>
      <c r="Q180" s="112">
        <v>0</v>
      </c>
      <c r="R180" s="425">
        <f ca="1">SUMIF(T$3:$AG164,"SI",T180:AG180)</f>
        <v>0</v>
      </c>
      <c r="S180" s="1107" t="str">
        <f t="shared" ca="1" si="31"/>
        <v>0,00%</v>
      </c>
      <c r="T180" s="422">
        <f>+'P01 2025'!G127</f>
        <v>7213.2960000000003</v>
      </c>
      <c r="U180" s="805">
        <v>0</v>
      </c>
      <c r="V180" s="805">
        <f>+'P01 2025'!N83</f>
        <v>7213.2960000000003</v>
      </c>
      <c r="W180" s="115"/>
      <c r="X180" s="944"/>
      <c r="Y180" s="115"/>
      <c r="Z180" s="115"/>
      <c r="AA180" s="115"/>
      <c r="AB180" s="115"/>
      <c r="AC180" s="115"/>
      <c r="AD180" s="112"/>
      <c r="AE180" s="115"/>
      <c r="AF180" s="112"/>
      <c r="AG180" s="1086"/>
      <c r="AH180" s="936"/>
      <c r="AI180" s="936"/>
      <c r="AJ180" s="936"/>
      <c r="AK180" s="936"/>
      <c r="AL180" s="937"/>
      <c r="BB180" s="201"/>
      <c r="BE180" s="577"/>
      <c r="BF180" s="577"/>
      <c r="BG180" s="198"/>
      <c r="BH180" s="580"/>
      <c r="BI180" s="201"/>
      <c r="BK180" s="201"/>
      <c r="BL180" s="201"/>
      <c r="BQ180" s="108"/>
    </row>
    <row r="181" spans="1:69" s="439" customFormat="1" ht="15" customHeight="1" x14ac:dyDescent="0.25">
      <c r="A181" s="459"/>
      <c r="B181" s="602" t="s">
        <v>1016</v>
      </c>
      <c r="C181" s="692"/>
      <c r="D181" s="606"/>
      <c r="E181" s="517" t="s">
        <v>254</v>
      </c>
      <c r="F181" s="461"/>
      <c r="G181" s="434" t="s">
        <v>1021</v>
      </c>
      <c r="H181" s="814" t="s">
        <v>258</v>
      </c>
      <c r="I181" s="342">
        <f>+'P01 2025'!F128</f>
        <v>82763</v>
      </c>
      <c r="J181" s="344">
        <f>+'P01 2025'!U131</f>
        <v>82763</v>
      </c>
      <c r="K181" s="344">
        <f ca="1">SUMIF(T$3:$AG173,"ok",T181:AG181)</f>
        <v>14426.592000000001</v>
      </c>
      <c r="L181" s="570">
        <f t="shared" ca="1" si="33"/>
        <v>0.17431209598492081</v>
      </c>
      <c r="M181" s="344">
        <f>+'P01 2025'!W131</f>
        <v>81409.551999999996</v>
      </c>
      <c r="N181" s="570">
        <f t="shared" si="34"/>
        <v>0.98364670202868432</v>
      </c>
      <c r="O181" s="344">
        <f t="shared" si="32"/>
        <v>1353.448000000004</v>
      </c>
      <c r="P181" s="693">
        <f t="shared" si="26"/>
        <v>1.6353297971315732E-2</v>
      </c>
      <c r="Q181" s="345">
        <v>0</v>
      </c>
      <c r="R181" s="428">
        <f ca="1">SUMIF(T$3:$AG165,"SI",T181:AG181)</f>
        <v>0</v>
      </c>
      <c r="S181" s="227" t="str">
        <f t="shared" ca="1" si="31"/>
        <v>0,00%</v>
      </c>
      <c r="T181" s="452">
        <f>+'P01 2025'!G128</f>
        <v>7213.2960000000003</v>
      </c>
      <c r="U181" s="808">
        <v>0</v>
      </c>
      <c r="V181" s="805">
        <f>+'P01 2025'!N84</f>
        <v>7213.2960000000003</v>
      </c>
      <c r="W181" s="241"/>
      <c r="X181" s="946"/>
      <c r="Y181" s="241"/>
      <c r="Z181" s="241"/>
      <c r="AA181" s="241"/>
      <c r="AB181" s="241"/>
      <c r="AC181" s="241"/>
      <c r="AD181" s="345"/>
      <c r="AE181" s="241"/>
      <c r="AF181" s="345"/>
      <c r="AG181" s="1010"/>
      <c r="AH181" s="915"/>
      <c r="AI181" s="915"/>
      <c r="AJ181" s="915"/>
      <c r="AK181" s="915"/>
      <c r="AL181" s="916"/>
      <c r="AM181" s="210"/>
      <c r="AN181" s="210"/>
      <c r="AO181" s="210"/>
      <c r="AP181" s="210"/>
      <c r="AQ181" s="210"/>
      <c r="AR181" s="210"/>
      <c r="AS181" s="210"/>
      <c r="AT181" s="210"/>
      <c r="AU181" s="210"/>
      <c r="AV181" s="210"/>
      <c r="AW181" s="210"/>
      <c r="AX181" s="201"/>
      <c r="AY181" s="201"/>
      <c r="AZ181" s="201"/>
      <c r="BA181" s="201"/>
      <c r="BB181" s="201"/>
      <c r="BC181" s="905"/>
      <c r="BD181" s="905"/>
      <c r="BE181" s="577"/>
      <c r="BF181" s="577"/>
      <c r="BG181" s="213"/>
      <c r="BH181" s="336"/>
      <c r="BI181" s="211"/>
      <c r="BJ181" s="258"/>
      <c r="BK181" s="211"/>
      <c r="BL181" s="211"/>
      <c r="BM181" s="258"/>
      <c r="BN181" s="258"/>
      <c r="BO181" s="258"/>
      <c r="BP181" s="258"/>
    </row>
    <row r="182" spans="1:69" s="417" customFormat="1" ht="15" customHeight="1" x14ac:dyDescent="0.25">
      <c r="A182" s="107"/>
      <c r="B182" s="233" t="s">
        <v>597</v>
      </c>
      <c r="C182" s="961">
        <v>25</v>
      </c>
      <c r="D182" s="518"/>
      <c r="E182" s="518"/>
      <c r="F182" s="326"/>
      <c r="G182" s="326"/>
      <c r="H182" s="111" t="s">
        <v>602</v>
      </c>
      <c r="I182" s="415">
        <f>+'P01 2025'!F129</f>
        <v>178378</v>
      </c>
      <c r="J182" s="415">
        <f>+'P01 2025'!U132</f>
        <v>178378</v>
      </c>
      <c r="K182" s="415">
        <f ca="1">SUMIF(T$3:$AG172,"ok",T182:AG182)</f>
        <v>56827.652999999998</v>
      </c>
      <c r="L182" s="575">
        <f t="shared" ca="1" si="33"/>
        <v>0.31857994259381761</v>
      </c>
      <c r="M182" s="415">
        <f>+'P01 2025'!W132</f>
        <v>56827.654000000002</v>
      </c>
      <c r="N182" s="575">
        <f t="shared" si="34"/>
        <v>0.31857994819989011</v>
      </c>
      <c r="O182" s="415">
        <f t="shared" si="32"/>
        <v>121550.34599999999</v>
      </c>
      <c r="P182" s="691">
        <f t="shared" si="26"/>
        <v>0.68142005180010978</v>
      </c>
      <c r="Q182" s="442">
        <f>+'P01 2024'!X128</f>
        <v>178367.476</v>
      </c>
      <c r="R182" s="416">
        <f ca="1">SUMIF(T$3:$AG171,"SI",T182:AG182)</f>
        <v>63122.590684000003</v>
      </c>
      <c r="S182" s="562">
        <f t="shared" ca="1" si="31"/>
        <v>0.35389069857107808</v>
      </c>
      <c r="T182" s="806">
        <f>+'P01 2025'!G129</f>
        <v>0</v>
      </c>
      <c r="U182" s="804">
        <f>+'P01 2024'!K127</f>
        <v>48308.367274000004</v>
      </c>
      <c r="V182" s="809">
        <f>+'P01 2025'!N85</f>
        <v>56827.652999999998</v>
      </c>
      <c r="W182" s="416">
        <f>+'P01 2024'!Q79</f>
        <v>14814.223410000001</v>
      </c>
      <c r="X182" s="943">
        <f>+'P01 2024'!AE97</f>
        <v>18537.891</v>
      </c>
      <c r="Y182" s="109">
        <f>+'P01 2024'!AT87</f>
        <v>27389.353999999999</v>
      </c>
      <c r="Z182" s="109">
        <f>+'P01 2024'!BI81</f>
        <v>106480.196</v>
      </c>
      <c r="AA182" s="109">
        <f>+'P01 2024'!BX98</f>
        <v>27962.295999999998</v>
      </c>
      <c r="AB182" s="109">
        <f>+'P01 2024'!CM107</f>
        <v>21327.264999999999</v>
      </c>
      <c r="AC182" s="109">
        <f>+'P01 2024'!DB102</f>
        <v>57208.614999999998</v>
      </c>
      <c r="AD182" s="109">
        <f>+'P01 2024'!DR96</f>
        <v>56745.569000000003</v>
      </c>
      <c r="AE182" s="109">
        <f>AE183</f>
        <v>41494.175999999999</v>
      </c>
      <c r="AF182" s="109">
        <f>+'P01 2024'!ET93</f>
        <v>70336.353000000003</v>
      </c>
      <c r="AG182" s="1006">
        <f>+'P01 2024'!FL118</f>
        <v>33357.678999999996</v>
      </c>
      <c r="AH182" s="915"/>
      <c r="AI182" s="915"/>
      <c r="AJ182" s="915"/>
      <c r="AK182" s="915"/>
      <c r="AL182" s="916"/>
      <c r="AM182" s="210"/>
      <c r="AN182" s="210"/>
      <c r="AO182" s="210"/>
      <c r="AP182" s="210"/>
      <c r="AQ182" s="210"/>
      <c r="AR182" s="210"/>
      <c r="AS182" s="210"/>
      <c r="AT182" s="210"/>
      <c r="AU182" s="210"/>
      <c r="AV182" s="210"/>
      <c r="AW182" s="210"/>
      <c r="AX182" s="201"/>
      <c r="AY182" s="201"/>
      <c r="AZ182" s="201"/>
      <c r="BA182" s="201"/>
      <c r="BB182" s="201"/>
      <c r="BC182" s="905"/>
      <c r="BD182" s="905"/>
      <c r="BE182" s="577"/>
      <c r="BF182" s="577"/>
      <c r="BG182" s="198"/>
      <c r="BH182" s="580"/>
      <c r="BI182" s="201"/>
      <c r="BJ182" s="210"/>
      <c r="BK182" s="201"/>
      <c r="BL182" s="201"/>
      <c r="BM182" s="210"/>
      <c r="BN182" s="210"/>
      <c r="BO182" s="210"/>
      <c r="BP182" s="210"/>
    </row>
    <row r="183" spans="1:69" s="459" customFormat="1" ht="15" hidden="1" customHeight="1" x14ac:dyDescent="0.25">
      <c r="B183" s="584" t="s">
        <v>598</v>
      </c>
      <c r="C183" s="968"/>
      <c r="D183" s="887" t="s">
        <v>886</v>
      </c>
      <c r="E183" s="888"/>
      <c r="F183" s="888"/>
      <c r="G183" s="889" t="s">
        <v>650</v>
      </c>
      <c r="H183" s="900" t="s">
        <v>601</v>
      </c>
      <c r="I183" s="576">
        <f>+'P01 2025'!F130</f>
        <v>178378</v>
      </c>
      <c r="J183" s="344">
        <f>+'P01 2025'!U133</f>
        <v>178378</v>
      </c>
      <c r="K183" s="344">
        <f ca="1">SUMIF(T$3:$AG173,"ok",T183:AG183)</f>
        <v>56827.652999999998</v>
      </c>
      <c r="L183" s="570">
        <f t="shared" ca="1" si="33"/>
        <v>0.31857994259381761</v>
      </c>
      <c r="M183" s="344">
        <f>+'P01 2025'!W133</f>
        <v>56827.654000000002</v>
      </c>
      <c r="N183" s="570">
        <f t="shared" si="34"/>
        <v>0.31857994819989011</v>
      </c>
      <c r="O183" s="344">
        <f t="shared" si="32"/>
        <v>121550.34599999999</v>
      </c>
      <c r="P183" s="694">
        <f t="shared" si="26"/>
        <v>0.68142005180010978</v>
      </c>
      <c r="Q183" s="807">
        <f>+'P01 2024'!X129</f>
        <v>178367.476</v>
      </c>
      <c r="R183" s="811">
        <f ca="1">SUMIF(T$3:$AG172,"SI",T183:AG183)</f>
        <v>63122.590684000003</v>
      </c>
      <c r="S183" s="977">
        <f t="shared" ca="1" si="31"/>
        <v>0.35389069857107808</v>
      </c>
      <c r="T183" s="969">
        <f>+'P01 2025'!G130</f>
        <v>0</v>
      </c>
      <c r="U183" s="818">
        <f>+'P01 2024'!K128</f>
        <v>48308.367274000004</v>
      </c>
      <c r="V183" s="805">
        <f>+'P01 2025'!N86</f>
        <v>56827.652999999998</v>
      </c>
      <c r="W183" s="241">
        <f>+'P01 2024'!Q80</f>
        <v>14814.223410000001</v>
      </c>
      <c r="X183" s="946">
        <f>+'P01 2024'!AE98</f>
        <v>18537.891</v>
      </c>
      <c r="Y183" s="241">
        <f>+'P01 2024'!AT88</f>
        <v>27389.353999999999</v>
      </c>
      <c r="Z183" s="241">
        <f>+'P01 2024'!BI82</f>
        <v>106480.196</v>
      </c>
      <c r="AA183" s="241">
        <f>+'P01 2024'!BX99</f>
        <v>27962.295999999998</v>
      </c>
      <c r="AB183" s="241">
        <f>+'P01 2024'!CM108</f>
        <v>21327.264999999999</v>
      </c>
      <c r="AC183" s="241">
        <f>+'P01 2024'!DB103</f>
        <v>57208.614999999998</v>
      </c>
      <c r="AD183" s="241">
        <f>+'P01 2024'!DR97</f>
        <v>56745.569000000003</v>
      </c>
      <c r="AE183" s="241">
        <f>SUM(AE184:AE188)</f>
        <v>41494.175999999999</v>
      </c>
      <c r="AF183" s="345">
        <f>+'P01 2024'!ET94</f>
        <v>70336.353000000003</v>
      </c>
      <c r="AG183" s="1010">
        <f>+'P01 2024'!FL119</f>
        <v>33357.678999999996</v>
      </c>
      <c r="AH183" s="915"/>
      <c r="AI183" s="915"/>
      <c r="AJ183" s="915"/>
      <c r="AK183" s="915"/>
      <c r="AL183" s="916"/>
      <c r="AM183" s="210"/>
      <c r="AN183" s="210"/>
      <c r="AO183" s="210"/>
      <c r="AP183" s="210"/>
      <c r="AQ183" s="210"/>
      <c r="AR183" s="210"/>
      <c r="AS183" s="210"/>
      <c r="AT183" s="210"/>
      <c r="AU183" s="210"/>
      <c r="AV183" s="210"/>
      <c r="AW183" s="210"/>
      <c r="AX183" s="201"/>
      <c r="AY183" s="201"/>
      <c r="AZ183" s="201"/>
      <c r="BA183" s="201"/>
      <c r="BB183" s="201"/>
      <c r="BC183" s="905"/>
      <c r="BD183" s="905"/>
      <c r="BE183" s="577"/>
      <c r="BF183" s="577"/>
      <c r="BG183" s="213"/>
      <c r="BH183" s="336"/>
      <c r="BI183" s="211"/>
      <c r="BJ183" s="258"/>
      <c r="BK183" s="211"/>
      <c r="BL183" s="211"/>
      <c r="BM183" s="258"/>
      <c r="BN183" s="258"/>
      <c r="BO183" s="258"/>
      <c r="BP183" s="258"/>
    </row>
    <row r="184" spans="1:69" ht="15" hidden="1" customHeight="1" x14ac:dyDescent="0.25">
      <c r="B184" s="233" t="s">
        <v>852</v>
      </c>
      <c r="C184" s="964"/>
      <c r="D184" s="464"/>
      <c r="E184" s="464"/>
      <c r="F184" s="464"/>
      <c r="G184" s="462" t="s">
        <v>855</v>
      </c>
      <c r="H184" s="899" t="s">
        <v>854</v>
      </c>
      <c r="I184" s="342">
        <f>+'P01 2025'!F131</f>
        <v>178374</v>
      </c>
      <c r="J184" s="344">
        <f>+'P01 2025'!U134</f>
        <v>178374</v>
      </c>
      <c r="K184" s="344">
        <f ca="1">SUMIF(T$3:$AG174,"ok",T184:AG184)</f>
        <v>56827.652999999998</v>
      </c>
      <c r="L184" s="570">
        <f t="shared" ca="1" si="33"/>
        <v>0.31858708668303676</v>
      </c>
      <c r="M184" s="344">
        <f>+'P01 2025'!W134</f>
        <v>56827.654000000002</v>
      </c>
      <c r="N184" s="570">
        <f t="shared" si="34"/>
        <v>0.31858709228923499</v>
      </c>
      <c r="O184" s="344">
        <f t="shared" si="32"/>
        <v>121546.34599999999</v>
      </c>
      <c r="P184" s="693">
        <f t="shared" si="26"/>
        <v>0.68141290771076501</v>
      </c>
      <c r="Q184" s="807">
        <f>+'P01 2024'!X130</f>
        <v>73982</v>
      </c>
      <c r="R184" s="807">
        <f ca="1">SUMIF(T$3:$AG173,"SI",T184:AG184)</f>
        <v>63122.590684000003</v>
      </c>
      <c r="S184" s="227">
        <f ca="1">IFERROR(R184/Q184,"0,00%")</f>
        <v>0.85321552112676058</v>
      </c>
      <c r="T184" s="422">
        <f>+'P01 2025'!G131</f>
        <v>0</v>
      </c>
      <c r="U184" s="805">
        <f>+'P01 2024'!K129</f>
        <v>48308.367274000004</v>
      </c>
      <c r="V184" s="805">
        <f>+'P01 2025'!N87</f>
        <v>56827.652999999998</v>
      </c>
      <c r="W184" s="115">
        <f>+'P01 2024'!Q81</f>
        <v>14814.223410000001</v>
      </c>
      <c r="X184" s="944">
        <f>+'P01 2024'!AE99</f>
        <v>18537.891</v>
      </c>
      <c r="Y184" s="115">
        <f>+'P01 2024'!AT89</f>
        <v>27389.353999999999</v>
      </c>
      <c r="Z184" s="463">
        <f>+'P01 2024'!BI83</f>
        <v>106480.196</v>
      </c>
      <c r="AA184" s="115">
        <f>+'P01 2024'!BX100</f>
        <v>27962.295999999998</v>
      </c>
      <c r="AB184" s="115">
        <f>+'P01 2024'!CM109</f>
        <v>21327.264999999999</v>
      </c>
      <c r="AC184" s="241">
        <f>+'P01 2024'!DB104</f>
        <v>57208.614999999998</v>
      </c>
      <c r="AD184" s="115">
        <f>+'P01 2024'!DR98</f>
        <v>56745.569000000003</v>
      </c>
      <c r="AE184" s="115">
        <f>'P01 2024'!EG97</f>
        <v>40026.548999999999</v>
      </c>
      <c r="AF184" s="112">
        <f>+'P01 2024'!ET95</f>
        <v>36358.955000000002</v>
      </c>
      <c r="AG184" s="1086">
        <f>+'P01 2024'!FL120</f>
        <v>33357.678999999996</v>
      </c>
      <c r="AH184" s="915"/>
      <c r="AI184" s="915"/>
      <c r="AJ184" s="915"/>
      <c r="AK184" s="915"/>
      <c r="AL184" s="916"/>
      <c r="BB184" s="201"/>
      <c r="BE184" s="577"/>
      <c r="BF184" s="577"/>
      <c r="BG184" s="198"/>
      <c r="BH184" s="580"/>
      <c r="BI184" s="201"/>
      <c r="BK184" s="201"/>
      <c r="BL184" s="201"/>
      <c r="BQ184" s="108"/>
    </row>
    <row r="185" spans="1:69" ht="15" hidden="1" customHeight="1" x14ac:dyDescent="0.25">
      <c r="B185" s="233" t="s">
        <v>984</v>
      </c>
      <c r="C185" s="464"/>
      <c r="D185" s="464"/>
      <c r="E185" s="464"/>
      <c r="F185" s="464"/>
      <c r="G185" s="464" t="s">
        <v>895</v>
      </c>
      <c r="H185" s="899" t="s">
        <v>894</v>
      </c>
      <c r="I185" s="342">
        <f>+'P01 2025'!F132</f>
        <v>1</v>
      </c>
      <c r="J185" s="344">
        <f>+'P01 2025'!U135</f>
        <v>1</v>
      </c>
      <c r="K185" s="344">
        <f ca="1">SUMIF(T$3:$AG175,"ok",T185:AG185)</f>
        <v>0</v>
      </c>
      <c r="L185" s="570">
        <f t="shared" ca="1" si="33"/>
        <v>0</v>
      </c>
      <c r="M185" s="344">
        <f>+'P01 2025'!W135</f>
        <v>0</v>
      </c>
      <c r="N185" s="570">
        <f t="shared" si="34"/>
        <v>0</v>
      </c>
      <c r="O185" s="344">
        <f t="shared" ref="O185:O186" si="35">J185-M185</f>
        <v>1</v>
      </c>
      <c r="P185" s="693">
        <f t="shared" si="26"/>
        <v>1</v>
      </c>
      <c r="Q185" s="807">
        <v>0</v>
      </c>
      <c r="R185" s="807">
        <f ca="1">SUMIF(T$3:$AG174,"SI",T185:AG185)</f>
        <v>0</v>
      </c>
      <c r="S185" s="227" t="str">
        <f ca="1">IFERROR(R185/Q185,"0,00%")</f>
        <v>0,00%</v>
      </c>
      <c r="T185" s="422">
        <f>+'P01 2025'!G132</f>
        <v>0</v>
      </c>
      <c r="U185" s="805">
        <v>0</v>
      </c>
      <c r="V185" s="805">
        <v>0</v>
      </c>
      <c r="W185" s="115">
        <v>0</v>
      </c>
      <c r="X185" s="944">
        <v>0</v>
      </c>
      <c r="Y185" s="115">
        <v>0</v>
      </c>
      <c r="Z185" s="463">
        <v>0</v>
      </c>
      <c r="AA185" s="115">
        <v>0</v>
      </c>
      <c r="AB185" s="115">
        <v>0</v>
      </c>
      <c r="AC185" s="115">
        <v>0</v>
      </c>
      <c r="AD185" s="115">
        <v>0</v>
      </c>
      <c r="AE185" s="115">
        <v>0</v>
      </c>
      <c r="AF185" s="112">
        <v>0</v>
      </c>
      <c r="AG185" s="1086">
        <v>0</v>
      </c>
      <c r="AH185" s="915"/>
      <c r="AI185" s="915"/>
      <c r="AJ185" s="915"/>
      <c r="AK185" s="915"/>
      <c r="AL185" s="916"/>
      <c r="BB185" s="201"/>
      <c r="BE185" s="577"/>
      <c r="BF185" s="577"/>
      <c r="BG185" s="198"/>
      <c r="BH185" s="580"/>
      <c r="BI185" s="201"/>
      <c r="BK185" s="201"/>
      <c r="BL185" s="201"/>
      <c r="BQ185" s="108"/>
    </row>
    <row r="186" spans="1:69" ht="15" hidden="1" customHeight="1" x14ac:dyDescent="0.25">
      <c r="B186" s="233" t="s">
        <v>857</v>
      </c>
      <c r="C186" s="964"/>
      <c r="D186" s="464"/>
      <c r="E186" s="464"/>
      <c r="F186" s="464"/>
      <c r="G186" s="462" t="s">
        <v>891</v>
      </c>
      <c r="H186" s="899" t="s">
        <v>863</v>
      </c>
      <c r="I186" s="342">
        <f>+'P01 2025'!F133</f>
        <v>1</v>
      </c>
      <c r="J186" s="344">
        <f>+'P01 2025'!U136</f>
        <v>1</v>
      </c>
      <c r="K186" s="344">
        <f ca="1">SUMIF(T$3:$AG176,"ok",T186:AG186)</f>
        <v>0</v>
      </c>
      <c r="L186" s="570">
        <f t="shared" ca="1" si="33"/>
        <v>0</v>
      </c>
      <c r="M186" s="344">
        <f>+'P01 2025'!W136</f>
        <v>0</v>
      </c>
      <c r="N186" s="570">
        <f t="shared" ref="N186:N208" si="36">+IFERROR(M186/J186,0%)</f>
        <v>0</v>
      </c>
      <c r="O186" s="344">
        <f t="shared" si="35"/>
        <v>1</v>
      </c>
      <c r="P186" s="564">
        <f t="shared" si="26"/>
        <v>1</v>
      </c>
      <c r="Q186" s="807">
        <f>+'P01 2024'!X131</f>
        <v>104.2</v>
      </c>
      <c r="R186" s="807">
        <f ca="1">SUMIF(T$3:$AG175,"SI",T186:AG186)</f>
        <v>0</v>
      </c>
      <c r="S186" s="227">
        <f t="shared" ref="S186:S208" ca="1" si="37">IFERROR(R186/Q186,"0,00%")</f>
        <v>0</v>
      </c>
      <c r="T186" s="422">
        <f>+'P01 2025'!G133</f>
        <v>0</v>
      </c>
      <c r="U186" s="805">
        <f>+'P01 2024'!K130</f>
        <v>0</v>
      </c>
      <c r="V186" s="805">
        <v>0</v>
      </c>
      <c r="W186" s="463">
        <v>0</v>
      </c>
      <c r="X186" s="944">
        <v>0</v>
      </c>
      <c r="Y186" s="463">
        <v>0</v>
      </c>
      <c r="Z186" s="463">
        <v>0</v>
      </c>
      <c r="AA186" s="463">
        <v>0</v>
      </c>
      <c r="AB186" s="115">
        <v>0</v>
      </c>
      <c r="AC186" s="241">
        <v>0</v>
      </c>
      <c r="AD186" s="463">
        <v>0</v>
      </c>
      <c r="AE186" s="115">
        <f>'P01 2024'!EG98</f>
        <v>1467.627</v>
      </c>
      <c r="AF186" s="112">
        <f>+'P01 2024'!ET97</f>
        <v>1172.394</v>
      </c>
      <c r="AG186" s="1086">
        <v>0</v>
      </c>
      <c r="AH186" s="915"/>
      <c r="AI186" s="915"/>
      <c r="AJ186" s="915"/>
      <c r="AK186" s="915"/>
      <c r="AL186" s="916"/>
      <c r="BB186" s="201"/>
      <c r="BE186" s="577"/>
      <c r="BF186" s="577"/>
      <c r="BG186" s="198"/>
      <c r="BH186" s="580"/>
      <c r="BI186" s="201"/>
      <c r="BK186" s="201"/>
      <c r="BL186" s="201"/>
      <c r="BQ186" s="108"/>
    </row>
    <row r="187" spans="1:69" ht="15" hidden="1" customHeight="1" x14ac:dyDescent="0.25">
      <c r="B187" s="233" t="s">
        <v>858</v>
      </c>
      <c r="C187" s="964"/>
      <c r="D187" s="464"/>
      <c r="E187" s="464"/>
      <c r="F187" s="464"/>
      <c r="G187" s="462" t="s">
        <v>892</v>
      </c>
      <c r="H187" s="899" t="s">
        <v>864</v>
      </c>
      <c r="I187" s="342">
        <f>+'P01 2025'!F134</f>
        <v>1</v>
      </c>
      <c r="J187" s="344">
        <f>+'P01 2025'!U137</f>
        <v>1</v>
      </c>
      <c r="K187" s="344">
        <f ca="1">SUMIF(T$3:$AG176,"ok",T187:AG187)</f>
        <v>0</v>
      </c>
      <c r="L187" s="570">
        <f t="shared" ca="1" si="33"/>
        <v>0</v>
      </c>
      <c r="M187" s="344">
        <f>+'P01 2025'!W137</f>
        <v>0</v>
      </c>
      <c r="N187" s="570">
        <f t="shared" si="36"/>
        <v>0</v>
      </c>
      <c r="O187" s="344">
        <f t="shared" ref="O187:O208" si="38">J187-M187</f>
        <v>1</v>
      </c>
      <c r="P187" s="564">
        <f t="shared" si="26"/>
        <v>1</v>
      </c>
      <c r="Q187" s="807">
        <f>+'P01 2024'!X132</f>
        <v>81.275999999999996</v>
      </c>
      <c r="R187" s="807">
        <f ca="1">SUMIF(T$3:$AG176,"SI",T187:AG187)</f>
        <v>0</v>
      </c>
      <c r="S187" s="227">
        <f t="shared" ca="1" si="37"/>
        <v>0</v>
      </c>
      <c r="T187" s="422">
        <f>+'P01 2025'!G134</f>
        <v>0</v>
      </c>
      <c r="U187" s="805">
        <f>+'P01 2024'!K131</f>
        <v>0</v>
      </c>
      <c r="V187" s="805">
        <v>0</v>
      </c>
      <c r="W187" s="463">
        <v>0</v>
      </c>
      <c r="X187" s="944">
        <v>0</v>
      </c>
      <c r="Y187" s="463">
        <v>0</v>
      </c>
      <c r="Z187" s="463">
        <v>0</v>
      </c>
      <c r="AA187" s="463">
        <v>0</v>
      </c>
      <c r="AB187" s="115">
        <v>0</v>
      </c>
      <c r="AC187" s="463">
        <v>0</v>
      </c>
      <c r="AD187" s="463">
        <v>0</v>
      </c>
      <c r="AE187" s="115">
        <v>0</v>
      </c>
      <c r="AF187" s="112">
        <v>0</v>
      </c>
      <c r="AG187" s="1086">
        <v>0</v>
      </c>
      <c r="AH187" s="915"/>
      <c r="AI187" s="915"/>
      <c r="AJ187" s="915"/>
      <c r="AK187" s="915"/>
      <c r="AL187" s="916"/>
      <c r="BB187" s="201"/>
      <c r="BE187" s="577"/>
      <c r="BF187" s="577"/>
      <c r="BG187" s="198"/>
      <c r="BH187" s="580"/>
      <c r="BI187" s="201"/>
      <c r="BK187" s="201"/>
      <c r="BL187" s="201"/>
      <c r="BQ187" s="108"/>
    </row>
    <row r="188" spans="1:69" s="439" customFormat="1" ht="15" hidden="1" customHeight="1" x14ac:dyDescent="0.25">
      <c r="A188" s="459"/>
      <c r="B188" s="584" t="s">
        <v>859</v>
      </c>
      <c r="C188" s="692"/>
      <c r="D188" s="555"/>
      <c r="E188" s="555"/>
      <c r="F188" s="555"/>
      <c r="G188" s="554" t="s">
        <v>862</v>
      </c>
      <c r="H188" s="814" t="s">
        <v>51</v>
      </c>
      <c r="I188" s="342">
        <f>+'P01 2025'!F135</f>
        <v>1</v>
      </c>
      <c r="J188" s="344">
        <f>+'P01 2025'!U138</f>
        <v>1</v>
      </c>
      <c r="K188" s="344">
        <f ca="1">SUMIF(T$3:$AG177,"ok",T188:AG188)</f>
        <v>0</v>
      </c>
      <c r="L188" s="570">
        <f t="shared" ca="1" si="33"/>
        <v>0</v>
      </c>
      <c r="M188" s="344">
        <f>+'P01 2025'!W138</f>
        <v>0</v>
      </c>
      <c r="N188" s="570">
        <f t="shared" si="36"/>
        <v>0</v>
      </c>
      <c r="O188" s="344">
        <f t="shared" si="38"/>
        <v>1</v>
      </c>
      <c r="P188" s="564">
        <f t="shared" si="26"/>
        <v>1</v>
      </c>
      <c r="Q188" s="807">
        <f>+'P01 2024'!X133</f>
        <v>104200</v>
      </c>
      <c r="R188" s="807">
        <f ca="1">SUMIF(T$3:$AG177,"SI",T188:AG188)</f>
        <v>0</v>
      </c>
      <c r="S188" s="974">
        <f t="shared" ca="1" si="37"/>
        <v>0</v>
      </c>
      <c r="T188" s="452">
        <f>+'P01 2025'!G135</f>
        <v>0</v>
      </c>
      <c r="U188" s="808">
        <f>+'P01 2024'!K132</f>
        <v>0</v>
      </c>
      <c r="V188" s="805">
        <v>0</v>
      </c>
      <c r="W188" s="556">
        <v>0</v>
      </c>
      <c r="X188" s="946">
        <v>0</v>
      </c>
      <c r="Y188" s="556">
        <v>0</v>
      </c>
      <c r="Z188" s="556">
        <v>0</v>
      </c>
      <c r="AA188" s="556">
        <v>0</v>
      </c>
      <c r="AB188" s="556">
        <v>0</v>
      </c>
      <c r="AC188" s="556">
        <v>0</v>
      </c>
      <c r="AD188" s="556">
        <v>0</v>
      </c>
      <c r="AE188" s="241">
        <v>0</v>
      </c>
      <c r="AF188" s="345">
        <v>0</v>
      </c>
      <c r="AG188" s="1010">
        <v>0</v>
      </c>
      <c r="AH188" s="915"/>
      <c r="AI188" s="915"/>
      <c r="AJ188" s="915"/>
      <c r="AK188" s="915"/>
      <c r="AL188" s="916"/>
      <c r="AM188" s="210"/>
      <c r="AN188" s="210"/>
      <c r="AO188" s="210"/>
      <c r="AP188" s="210"/>
      <c r="AQ188" s="210"/>
      <c r="AR188" s="210"/>
      <c r="AS188" s="210"/>
      <c r="AT188" s="210"/>
      <c r="AU188" s="210"/>
      <c r="AV188" s="210"/>
      <c r="AW188" s="210"/>
      <c r="AX188" s="201"/>
      <c r="AY188" s="201"/>
      <c r="AZ188" s="201"/>
      <c r="BA188" s="201"/>
      <c r="BB188" s="201"/>
      <c r="BC188" s="905"/>
      <c r="BD188" s="905"/>
      <c r="BE188" s="577"/>
      <c r="BF188" s="577"/>
      <c r="BG188" s="198"/>
      <c r="BH188" s="580"/>
      <c r="BI188" s="201"/>
      <c r="BJ188" s="258"/>
      <c r="BK188" s="211"/>
      <c r="BL188" s="211"/>
      <c r="BM188" s="258"/>
      <c r="BN188" s="258"/>
      <c r="BO188" s="258"/>
      <c r="BP188" s="258"/>
    </row>
    <row r="189" spans="1:69" ht="15" customHeight="1" x14ac:dyDescent="0.25">
      <c r="B189" s="233" t="s">
        <v>580</v>
      </c>
      <c r="C189" s="961">
        <v>29</v>
      </c>
      <c r="D189" s="238" t="s">
        <v>2</v>
      </c>
      <c r="E189" s="326"/>
      <c r="F189" s="326"/>
      <c r="G189" s="327"/>
      <c r="H189" s="901" t="s">
        <v>306</v>
      </c>
      <c r="I189" s="195">
        <f>+'P01 2025'!F136+11957</f>
        <v>239135</v>
      </c>
      <c r="J189" s="415">
        <f>+'P01 2025'!U139</f>
        <v>227178</v>
      </c>
      <c r="K189" s="195">
        <f ca="1">SUMIF(T$3:$AG175,"ok",T189:AG189)</f>
        <v>25191.001</v>
      </c>
      <c r="L189" s="562">
        <f t="shared" ref="L189:L208" ca="1" si="39">IFERROR(K189/J189,0)</f>
        <v>0.11088662194402626</v>
      </c>
      <c r="M189" s="415">
        <f>+'P01 2025'!W139</f>
        <v>25191.001</v>
      </c>
      <c r="N189" s="562">
        <f t="shared" si="36"/>
        <v>0.11088662194402626</v>
      </c>
      <c r="O189" s="195">
        <f t="shared" si="38"/>
        <v>201986.99900000001</v>
      </c>
      <c r="P189" s="691">
        <f t="shared" si="26"/>
        <v>0.88911337805597379</v>
      </c>
      <c r="Q189" s="442">
        <f>+'P01 2024'!X134</f>
        <v>273007.12599999999</v>
      </c>
      <c r="R189" s="442">
        <f ca="1">SUMIF(U$3:$AG169,"SI",U189:AG189)</f>
        <v>36168.313907999996</v>
      </c>
      <c r="S189" s="562">
        <f t="shared" ca="1" si="37"/>
        <v>0.1324812082304401</v>
      </c>
      <c r="T189" s="806">
        <f>+'P01 2025'!G136</f>
        <v>0</v>
      </c>
      <c r="U189" s="804">
        <f>+'P01 2024'!K135</f>
        <v>4328.3377500000006</v>
      </c>
      <c r="V189" s="804">
        <f>+'P01 2025'!N88</f>
        <v>25191.001</v>
      </c>
      <c r="W189" s="109">
        <f>+'P01 2024'!Q82</f>
        <v>31839.976157999998</v>
      </c>
      <c r="X189" s="943">
        <v>0</v>
      </c>
      <c r="Y189" s="208">
        <f>+'P01 2024'!AT90</f>
        <v>6196.2250000000004</v>
      </c>
      <c r="Z189" s="208">
        <v>0</v>
      </c>
      <c r="AA189" s="208">
        <f>+'P01 2024'!BX101</f>
        <v>2492.3249999999998</v>
      </c>
      <c r="AB189" s="109">
        <f>+'P01 2024'!CM110</f>
        <v>4814.7250000000004</v>
      </c>
      <c r="AC189" s="109">
        <f>+'P01 2024'!DB105</f>
        <v>56244.42</v>
      </c>
      <c r="AD189" s="109">
        <v>0</v>
      </c>
      <c r="AE189" s="208">
        <f>AE190+AE191+AE192+AE193+AE194+AE197</f>
        <v>8018.2179999999998</v>
      </c>
      <c r="AF189" s="208">
        <f>+'P01 2024'!ET98</f>
        <v>103353.62</v>
      </c>
      <c r="AG189" s="1006">
        <f>+'P01 2024'!FL121</f>
        <v>45579.02</v>
      </c>
      <c r="AH189" s="915"/>
      <c r="AI189" s="915"/>
      <c r="AJ189" s="915"/>
      <c r="AK189" s="915"/>
      <c r="AL189" s="916"/>
      <c r="BB189" s="201"/>
      <c r="BE189" s="577"/>
      <c r="BF189" s="577"/>
      <c r="BG189" s="198"/>
      <c r="BH189" s="580"/>
      <c r="BI189" s="201"/>
      <c r="BK189" s="201"/>
      <c r="BL189" s="201"/>
      <c r="BQ189" s="108"/>
    </row>
    <row r="190" spans="1:69" ht="15" customHeight="1" x14ac:dyDescent="0.25">
      <c r="B190" s="233" t="s">
        <v>774</v>
      </c>
      <c r="C190" s="970"/>
      <c r="D190" s="304" t="s">
        <v>165</v>
      </c>
      <c r="E190" s="113"/>
      <c r="F190" s="465"/>
      <c r="G190" s="466" t="s">
        <v>782</v>
      </c>
      <c r="H190" s="467" t="s">
        <v>781</v>
      </c>
      <c r="I190" s="342">
        <f>+'P01 2025'!F137</f>
        <v>26050</v>
      </c>
      <c r="J190" s="344">
        <f>+'P01 2025'!U140</f>
        <v>26050</v>
      </c>
      <c r="K190" s="436">
        <f ca="1">SUMIF(T$3:$AG176,"ok",T190:AG190)</f>
        <v>25191.001</v>
      </c>
      <c r="L190" s="570">
        <f t="shared" ca="1" si="39"/>
        <v>0.96702499040307099</v>
      </c>
      <c r="M190" s="436">
        <f>+'P01 2025'!W140</f>
        <v>25191.001</v>
      </c>
      <c r="N190" s="570">
        <f t="shared" si="36"/>
        <v>0.96702499040307099</v>
      </c>
      <c r="O190" s="429">
        <f t="shared" si="38"/>
        <v>858.9989999999998</v>
      </c>
      <c r="P190" s="228">
        <f t="shared" si="26"/>
        <v>3.2975009596928978E-2</v>
      </c>
      <c r="Q190" s="807">
        <f>+'P01 2024'!X135</f>
        <v>34511.040000000001</v>
      </c>
      <c r="R190" s="115">
        <f ca="1">SUMIF(T$3:$AG171,"SI",T190:AG190)</f>
        <v>23399.776158000001</v>
      </c>
      <c r="S190" s="227">
        <f t="shared" ca="1" si="37"/>
        <v>0.67803740942028989</v>
      </c>
      <c r="T190" s="422">
        <f>+'P01 2025'!G137</f>
        <v>0</v>
      </c>
      <c r="U190" s="805">
        <f>+'P01 2024'!K136</f>
        <v>0</v>
      </c>
      <c r="V190" s="805">
        <f>+'P01 2025'!N89</f>
        <v>25191.001</v>
      </c>
      <c r="W190" s="115">
        <f>+'P01 2024'!Q83</f>
        <v>23399.776158000001</v>
      </c>
      <c r="X190" s="944">
        <v>0</v>
      </c>
      <c r="Y190" s="440">
        <v>0</v>
      </c>
      <c r="Z190" s="440">
        <v>0</v>
      </c>
      <c r="AA190" s="440">
        <v>0</v>
      </c>
      <c r="AB190" s="302">
        <v>0</v>
      </c>
      <c r="AC190" s="115">
        <v>0</v>
      </c>
      <c r="AD190" s="112">
        <v>0</v>
      </c>
      <c r="AE190" s="115">
        <v>0</v>
      </c>
      <c r="AF190" s="112">
        <v>0</v>
      </c>
      <c r="AG190" s="1007">
        <v>0</v>
      </c>
      <c r="AH190" s="915"/>
      <c r="AI190" s="915"/>
      <c r="AJ190" s="915"/>
      <c r="AK190" s="915"/>
      <c r="AL190" s="916"/>
      <c r="BB190" s="201"/>
      <c r="BE190" s="577"/>
      <c r="BF190" s="577"/>
      <c r="BG190" s="198"/>
      <c r="BH190" s="580"/>
      <c r="BI190" s="201"/>
      <c r="BK190" s="201"/>
      <c r="BL190" s="201"/>
      <c r="BQ190" s="108"/>
    </row>
    <row r="191" spans="1:69" ht="15" hidden="1" customHeight="1" x14ac:dyDescent="0.25">
      <c r="B191" s="233" t="s">
        <v>831</v>
      </c>
      <c r="C191" s="970"/>
      <c r="D191" s="304" t="s">
        <v>166</v>
      </c>
      <c r="E191" s="113"/>
      <c r="F191" s="465"/>
      <c r="G191" s="466" t="s">
        <v>839</v>
      </c>
      <c r="H191" s="456" t="s">
        <v>833</v>
      </c>
      <c r="I191" s="342">
        <v>0</v>
      </c>
      <c r="J191" s="436">
        <v>0</v>
      </c>
      <c r="K191" s="436">
        <f ca="1">SUMIF(T$3:$AG177,"ok",T191:AG191)</f>
        <v>0</v>
      </c>
      <c r="L191" s="564">
        <f t="shared" ca="1" si="39"/>
        <v>0</v>
      </c>
      <c r="M191" s="436">
        <v>0</v>
      </c>
      <c r="N191" s="564">
        <f t="shared" si="36"/>
        <v>0</v>
      </c>
      <c r="O191" s="436">
        <f t="shared" si="38"/>
        <v>0</v>
      </c>
      <c r="P191" s="228">
        <f t="shared" si="26"/>
        <v>0</v>
      </c>
      <c r="Q191" s="112">
        <v>0</v>
      </c>
      <c r="R191" s="115">
        <f ca="1">SUMIF(U$3:$AG169,"SI",U191:AG196)</f>
        <v>0</v>
      </c>
      <c r="S191" s="227" t="str">
        <f t="shared" ca="1" si="37"/>
        <v>0,00%</v>
      </c>
      <c r="T191" s="422">
        <v>0</v>
      </c>
      <c r="U191" s="805">
        <v>0</v>
      </c>
      <c r="V191" s="805">
        <v>0</v>
      </c>
      <c r="W191" s="302">
        <v>0</v>
      </c>
      <c r="X191" s="944">
        <v>0</v>
      </c>
      <c r="Y191" s="440">
        <v>0</v>
      </c>
      <c r="Z191" s="440">
        <v>0</v>
      </c>
      <c r="AA191" s="440">
        <v>0</v>
      </c>
      <c r="AB191" s="302">
        <f>+'P01 2024'!CM111</f>
        <v>226.1</v>
      </c>
      <c r="AC191" s="115">
        <f>+'P01 2024'!DB106</f>
        <v>1840.93</v>
      </c>
      <c r="AD191" s="112">
        <v>0</v>
      </c>
      <c r="AE191" s="112">
        <v>0</v>
      </c>
      <c r="AF191" s="112">
        <f>+'P01 2024'!ET99</f>
        <v>14394.135</v>
      </c>
      <c r="AG191" s="1007">
        <v>0</v>
      </c>
      <c r="AH191" s="915"/>
      <c r="AI191" s="915"/>
      <c r="AJ191" s="915"/>
      <c r="AK191" s="915"/>
      <c r="AL191" s="916"/>
      <c r="BB191" s="201"/>
      <c r="BE191" s="577"/>
      <c r="BF191" s="577"/>
      <c r="BG191" s="198"/>
      <c r="BH191" s="580"/>
      <c r="BI191" s="201"/>
      <c r="BK191" s="201"/>
      <c r="BL191" s="201"/>
      <c r="BQ191" s="108"/>
    </row>
    <row r="192" spans="1:69" ht="15" hidden="1" customHeight="1" x14ac:dyDescent="0.25">
      <c r="B192" s="233" t="s">
        <v>870</v>
      </c>
      <c r="C192" s="970"/>
      <c r="D192" s="304" t="s">
        <v>176</v>
      </c>
      <c r="E192" s="113"/>
      <c r="F192" s="465"/>
      <c r="G192" s="466" t="s">
        <v>877</v>
      </c>
      <c r="H192" s="456" t="s">
        <v>875</v>
      </c>
      <c r="I192" s="342">
        <v>0</v>
      </c>
      <c r="J192" s="436">
        <v>0</v>
      </c>
      <c r="K192" s="436">
        <f ca="1">SUMIF(T$3:$AG178,"ok",T192:AG192)</f>
        <v>0</v>
      </c>
      <c r="L192" s="564">
        <f t="shared" ca="1" si="39"/>
        <v>0</v>
      </c>
      <c r="M192" s="436">
        <v>0</v>
      </c>
      <c r="N192" s="564">
        <f t="shared" si="36"/>
        <v>0</v>
      </c>
      <c r="O192" s="436">
        <f t="shared" si="38"/>
        <v>0</v>
      </c>
      <c r="P192" s="228">
        <f t="shared" si="26"/>
        <v>0</v>
      </c>
      <c r="Q192" s="112">
        <v>0</v>
      </c>
      <c r="R192" s="115">
        <f ca="1">SUMIF(T$3:$AG173,"SI",T192:AG192)</f>
        <v>0</v>
      </c>
      <c r="S192" s="227" t="str">
        <f t="shared" ca="1" si="37"/>
        <v>0,00%</v>
      </c>
      <c r="T192" s="422">
        <v>0</v>
      </c>
      <c r="U192" s="805">
        <v>0</v>
      </c>
      <c r="V192" s="805">
        <v>0</v>
      </c>
      <c r="W192" s="302">
        <v>0</v>
      </c>
      <c r="X192" s="944">
        <v>0</v>
      </c>
      <c r="Y192" s="115">
        <v>0</v>
      </c>
      <c r="Z192" s="115">
        <v>0</v>
      </c>
      <c r="AA192" s="115">
        <v>0</v>
      </c>
      <c r="AB192" s="115">
        <v>0</v>
      </c>
      <c r="AC192" s="115">
        <v>0</v>
      </c>
      <c r="AD192" s="115">
        <v>0</v>
      </c>
      <c r="AE192" s="115">
        <v>0</v>
      </c>
      <c r="AF192" s="115">
        <v>0</v>
      </c>
      <c r="AG192" s="1086">
        <v>0</v>
      </c>
      <c r="AH192" s="915"/>
      <c r="AI192" s="915"/>
      <c r="AJ192" s="915"/>
      <c r="AK192" s="915"/>
      <c r="AL192" s="916"/>
      <c r="BB192" s="201"/>
      <c r="BE192" s="577"/>
      <c r="BF192" s="577"/>
      <c r="BG192" s="198"/>
      <c r="BH192" s="580"/>
      <c r="BI192" s="201"/>
      <c r="BK192" s="201"/>
      <c r="BL192" s="201"/>
      <c r="BQ192" s="108"/>
    </row>
    <row r="193" spans="1:69" ht="15" hidden="1" customHeight="1" x14ac:dyDescent="0.25">
      <c r="B193" s="233" t="s">
        <v>871</v>
      </c>
      <c r="C193" s="970"/>
      <c r="D193" s="304"/>
      <c r="E193" s="113" t="s">
        <v>167</v>
      </c>
      <c r="F193" s="465"/>
      <c r="G193" s="466" t="s">
        <v>210</v>
      </c>
      <c r="H193" s="456" t="s">
        <v>876</v>
      </c>
      <c r="I193" s="342">
        <v>0</v>
      </c>
      <c r="J193" s="436">
        <v>0</v>
      </c>
      <c r="K193" s="436">
        <f ca="1">SUMIF(T$3:$AG179,"ok",T193:AG193)</f>
        <v>0</v>
      </c>
      <c r="L193" s="564">
        <f t="shared" ca="1" si="39"/>
        <v>0</v>
      </c>
      <c r="M193" s="436">
        <v>0</v>
      </c>
      <c r="N193" s="564">
        <f t="shared" si="36"/>
        <v>0</v>
      </c>
      <c r="O193" s="436">
        <f t="shared" si="38"/>
        <v>0</v>
      </c>
      <c r="P193" s="228">
        <f t="shared" si="26"/>
        <v>0</v>
      </c>
      <c r="Q193" s="112">
        <v>0</v>
      </c>
      <c r="R193" s="115">
        <f ca="1">SUMIF(T$3:$AG174,"SI",T193:AG193)</f>
        <v>0</v>
      </c>
      <c r="S193" s="227" t="str">
        <f t="shared" ca="1" si="37"/>
        <v>0,00%</v>
      </c>
      <c r="T193" s="422">
        <v>0</v>
      </c>
      <c r="U193" s="805">
        <v>0</v>
      </c>
      <c r="V193" s="805">
        <v>0</v>
      </c>
      <c r="W193" s="302">
        <v>0</v>
      </c>
      <c r="X193" s="944">
        <v>0</v>
      </c>
      <c r="Y193" s="115">
        <v>0</v>
      </c>
      <c r="Z193" s="115">
        <v>0</v>
      </c>
      <c r="AA193" s="115">
        <v>0</v>
      </c>
      <c r="AB193" s="115">
        <v>0</v>
      </c>
      <c r="AC193" s="115">
        <v>0</v>
      </c>
      <c r="AD193" s="115">
        <v>0</v>
      </c>
      <c r="AE193" s="115">
        <v>0</v>
      </c>
      <c r="AF193" s="115">
        <v>0</v>
      </c>
      <c r="AG193" s="1086">
        <v>0</v>
      </c>
      <c r="AH193" s="915"/>
      <c r="AI193" s="915"/>
      <c r="AJ193" s="915"/>
      <c r="AK193" s="915"/>
      <c r="AL193" s="916"/>
      <c r="BB193" s="201"/>
      <c r="BE193" s="577"/>
      <c r="BF193" s="577"/>
      <c r="BG193" s="198"/>
      <c r="BH193" s="580"/>
      <c r="BI193" s="201"/>
      <c r="BK193" s="201"/>
      <c r="BL193" s="201"/>
      <c r="BQ193" s="108"/>
    </row>
    <row r="194" spans="1:69" ht="15" hidden="1" customHeight="1" x14ac:dyDescent="0.25">
      <c r="B194" s="233" t="s">
        <v>400</v>
      </c>
      <c r="C194" s="971"/>
      <c r="D194" s="464" t="s">
        <v>180</v>
      </c>
      <c r="E194" s="595"/>
      <c r="F194" s="596"/>
      <c r="G194" s="466" t="s">
        <v>210</v>
      </c>
      <c r="H194" s="456" t="s">
        <v>81</v>
      </c>
      <c r="I194" s="342">
        <v>0</v>
      </c>
      <c r="J194" s="436">
        <v>0</v>
      </c>
      <c r="K194" s="436">
        <f ca="1">SUMIF(T$3:$AG182,"ok",T194:AG194)</f>
        <v>0</v>
      </c>
      <c r="L194" s="564">
        <f t="shared" ca="1" si="39"/>
        <v>0</v>
      </c>
      <c r="M194" s="436">
        <v>0</v>
      </c>
      <c r="N194" s="564">
        <f t="shared" si="36"/>
        <v>0</v>
      </c>
      <c r="O194" s="436">
        <f t="shared" si="38"/>
        <v>0</v>
      </c>
      <c r="P194" s="228">
        <f t="shared" si="26"/>
        <v>0</v>
      </c>
      <c r="Q194" s="112">
        <v>0</v>
      </c>
      <c r="R194" s="115">
        <f ca="1">SUMIF(T$3:$AG175,"SI",T194:AG194)</f>
        <v>0</v>
      </c>
      <c r="S194" s="227" t="str">
        <f t="shared" ca="1" si="37"/>
        <v>0,00%</v>
      </c>
      <c r="T194" s="422">
        <v>0</v>
      </c>
      <c r="U194" s="805">
        <v>0</v>
      </c>
      <c r="V194" s="805">
        <v>0</v>
      </c>
      <c r="W194" s="302">
        <v>0</v>
      </c>
      <c r="X194" s="944">
        <v>0</v>
      </c>
      <c r="Y194" s="440">
        <v>0</v>
      </c>
      <c r="Z194" s="440">
        <v>0</v>
      </c>
      <c r="AA194" s="440">
        <v>0</v>
      </c>
      <c r="AB194" s="440">
        <f>+'P01 2024'!CM112</f>
        <v>1948.625</v>
      </c>
      <c r="AC194" s="115">
        <f>+'P01 2024'!DB107</f>
        <v>35499.999000000003</v>
      </c>
      <c r="AD194" s="112">
        <v>0</v>
      </c>
      <c r="AE194" s="440">
        <f>SUM(AE195:AE196)</f>
        <v>821.09799999999996</v>
      </c>
      <c r="AF194" s="112">
        <v>0</v>
      </c>
      <c r="AG194" s="1087">
        <v>0</v>
      </c>
      <c r="AH194" s="915"/>
      <c r="AI194" s="915"/>
      <c r="AJ194" s="915"/>
      <c r="AK194" s="915"/>
      <c r="AL194" s="916"/>
      <c r="BB194" s="201"/>
      <c r="BE194" s="577"/>
      <c r="BF194" s="577"/>
      <c r="BG194" s="198"/>
      <c r="BH194" s="580"/>
      <c r="BI194" s="201"/>
      <c r="BK194" s="201"/>
      <c r="BL194" s="201"/>
      <c r="BQ194" s="108"/>
    </row>
    <row r="195" spans="1:69" ht="15" hidden="1" customHeight="1" x14ac:dyDescent="0.25">
      <c r="B195" s="233" t="s">
        <v>581</v>
      </c>
      <c r="C195" s="964"/>
      <c r="D195" s="304"/>
      <c r="E195" s="113" t="s">
        <v>167</v>
      </c>
      <c r="F195" s="113"/>
      <c r="G195" s="466" t="s">
        <v>211</v>
      </c>
      <c r="H195" s="456" t="s">
        <v>212</v>
      </c>
      <c r="I195" s="342">
        <v>0</v>
      </c>
      <c r="J195" s="436">
        <v>0</v>
      </c>
      <c r="K195" s="436">
        <f ca="1">SUMIF(T$3:$AG183,"ok",T195:AG195)</f>
        <v>0</v>
      </c>
      <c r="L195" s="564">
        <f t="shared" ca="1" si="39"/>
        <v>0</v>
      </c>
      <c r="M195" s="436">
        <v>0</v>
      </c>
      <c r="N195" s="564">
        <f t="shared" si="36"/>
        <v>0</v>
      </c>
      <c r="O195" s="436">
        <f t="shared" si="38"/>
        <v>0</v>
      </c>
      <c r="P195" s="228">
        <f t="shared" si="26"/>
        <v>0</v>
      </c>
      <c r="Q195" s="112">
        <v>0</v>
      </c>
      <c r="R195" s="115">
        <f ca="1">SUMIF(T$3:$AG176,"SI",T195:AG195)</f>
        <v>0</v>
      </c>
      <c r="S195" s="227" t="str">
        <f t="shared" ca="1" si="37"/>
        <v>0,00%</v>
      </c>
      <c r="T195" s="422">
        <v>0</v>
      </c>
      <c r="U195" s="805">
        <v>0</v>
      </c>
      <c r="V195" s="805">
        <v>0</v>
      </c>
      <c r="W195" s="302">
        <v>0</v>
      </c>
      <c r="X195" s="944">
        <v>0</v>
      </c>
      <c r="Y195" s="112">
        <v>0</v>
      </c>
      <c r="Z195" s="112">
        <v>0</v>
      </c>
      <c r="AA195" s="467">
        <v>0</v>
      </c>
      <c r="AB195" s="440">
        <f>+'P01 2024'!CM113</f>
        <v>1948.625</v>
      </c>
      <c r="AC195" s="115">
        <v>0</v>
      </c>
      <c r="AD195" s="112">
        <v>0</v>
      </c>
      <c r="AE195" s="112">
        <f>'P01 2024'!EG101</f>
        <v>821.09799999999996</v>
      </c>
      <c r="AF195" s="112">
        <v>0</v>
      </c>
      <c r="AG195" s="1087">
        <v>0</v>
      </c>
      <c r="AH195" s="915"/>
      <c r="AI195" s="915"/>
      <c r="AJ195" s="915"/>
      <c r="AK195" s="915"/>
      <c r="AL195" s="916"/>
      <c r="BB195" s="201"/>
      <c r="BE195" s="577"/>
      <c r="BF195" s="577"/>
      <c r="BG195" s="198"/>
      <c r="BH195" s="580"/>
      <c r="BI195" s="201"/>
      <c r="BK195" s="201"/>
      <c r="BL195" s="201"/>
      <c r="BQ195" s="108"/>
    </row>
    <row r="196" spans="1:69" ht="15" hidden="1" customHeight="1" x14ac:dyDescent="0.25">
      <c r="B196" s="233" t="s">
        <v>936</v>
      </c>
      <c r="C196" s="964"/>
      <c r="D196" s="304"/>
      <c r="E196" s="113" t="s">
        <v>163</v>
      </c>
      <c r="F196" s="113"/>
      <c r="G196" s="466" t="s">
        <v>1023</v>
      </c>
      <c r="H196" s="456" t="s">
        <v>937</v>
      </c>
      <c r="I196" s="342">
        <v>0</v>
      </c>
      <c r="J196" s="436">
        <v>0</v>
      </c>
      <c r="K196" s="436">
        <f ca="1">SUMIF(T$3:$AG184,"ok",T196:AG196)</f>
        <v>0</v>
      </c>
      <c r="L196" s="564">
        <f t="shared" ca="1" si="39"/>
        <v>0</v>
      </c>
      <c r="M196" s="436">
        <v>0</v>
      </c>
      <c r="N196" s="564">
        <f t="shared" si="36"/>
        <v>0</v>
      </c>
      <c r="O196" s="436">
        <f t="shared" si="38"/>
        <v>0</v>
      </c>
      <c r="P196" s="228">
        <f t="shared" si="26"/>
        <v>0</v>
      </c>
      <c r="Q196" s="112">
        <v>0</v>
      </c>
      <c r="R196" s="115">
        <f ca="1">SUMIF(T$3:$AG177,"SI",T196:AG196)</f>
        <v>0</v>
      </c>
      <c r="S196" s="227" t="str">
        <f t="shared" ca="1" si="37"/>
        <v>0,00%</v>
      </c>
      <c r="T196" s="422">
        <v>0</v>
      </c>
      <c r="U196" s="805">
        <v>0</v>
      </c>
      <c r="V196" s="805">
        <v>0</v>
      </c>
      <c r="W196" s="302">
        <v>0</v>
      </c>
      <c r="X196" s="944">
        <v>0</v>
      </c>
      <c r="Y196" s="112">
        <v>0</v>
      </c>
      <c r="Z196" s="112">
        <v>0</v>
      </c>
      <c r="AA196" s="467">
        <v>0</v>
      </c>
      <c r="AB196" s="112">
        <v>0</v>
      </c>
      <c r="AC196" s="115">
        <f>+'P01 2024'!DB108</f>
        <v>35499.999000000003</v>
      </c>
      <c r="AD196" s="112">
        <v>0</v>
      </c>
      <c r="AE196" s="112">
        <v>0</v>
      </c>
      <c r="AF196" s="112">
        <v>0</v>
      </c>
      <c r="AG196" s="1087">
        <v>0</v>
      </c>
      <c r="AH196" s="915"/>
      <c r="AI196" s="915"/>
      <c r="AJ196" s="915"/>
      <c r="AK196" s="915"/>
      <c r="AL196" s="916"/>
      <c r="BB196" s="201"/>
      <c r="BE196" s="577"/>
      <c r="BF196" s="577"/>
      <c r="BG196" s="198"/>
      <c r="BH196" s="580"/>
      <c r="BI196" s="201"/>
      <c r="BK196" s="201"/>
      <c r="BL196" s="201"/>
      <c r="BQ196" s="108"/>
    </row>
    <row r="197" spans="1:69" s="439" customFormat="1" ht="15" customHeight="1" x14ac:dyDescent="0.25">
      <c r="A197" s="459"/>
      <c r="B197" s="584" t="s">
        <v>401</v>
      </c>
      <c r="C197" s="889" t="s">
        <v>2</v>
      </c>
      <c r="D197" s="555" t="s">
        <v>181</v>
      </c>
      <c r="E197" s="597"/>
      <c r="F197" s="598"/>
      <c r="G197" s="599" t="str">
        <f>+CONCATENATE($C$189,"",D197,"",E197)</f>
        <v>29.07</v>
      </c>
      <c r="H197" s="456" t="s">
        <v>80</v>
      </c>
      <c r="I197" s="712">
        <f>+'P01 2025'!F138+11957</f>
        <v>213085</v>
      </c>
      <c r="J197" s="429">
        <f>+'P01 2025'!U141</f>
        <v>201128</v>
      </c>
      <c r="K197" s="436">
        <f ca="1">SUMIF(T$3:$AG186,"ok",T197:AG197)</f>
        <v>0</v>
      </c>
      <c r="L197" s="570">
        <f t="shared" ca="1" si="39"/>
        <v>0</v>
      </c>
      <c r="M197" s="429">
        <f>+'P01 2025'!W141</f>
        <v>0</v>
      </c>
      <c r="N197" s="570">
        <f t="shared" si="36"/>
        <v>0</v>
      </c>
      <c r="O197" s="429">
        <f t="shared" si="38"/>
        <v>201128</v>
      </c>
      <c r="P197" s="693">
        <f t="shared" si="26"/>
        <v>1</v>
      </c>
      <c r="Q197" s="345">
        <f>+'P01 2024'!X136</f>
        <v>238496.08600000001</v>
      </c>
      <c r="R197" s="241">
        <f ca="1">SUMIF(T$3:$AG178,"SI",T197:AG197)</f>
        <v>12768.537750000001</v>
      </c>
      <c r="S197" s="974">
        <f t="shared" ca="1" si="37"/>
        <v>5.3537724514271488E-2</v>
      </c>
      <c r="T197" s="452">
        <f>+'P01 2025'!G138</f>
        <v>0</v>
      </c>
      <c r="U197" s="808">
        <f>+'P01 2024'!K135</f>
        <v>4328.3377500000006</v>
      </c>
      <c r="V197" s="805">
        <v>0</v>
      </c>
      <c r="W197" s="241">
        <f>+'P01 2024'!Q84</f>
        <v>8440.2000000000007</v>
      </c>
      <c r="X197" s="946">
        <v>0</v>
      </c>
      <c r="Y197" s="454">
        <f>+'P01 2024'!AT91</f>
        <v>6196.2250000000004</v>
      </c>
      <c r="Z197" s="454">
        <v>0</v>
      </c>
      <c r="AA197" s="345">
        <f>+'P01 2024'!BX102</f>
        <v>2492.3249999999998</v>
      </c>
      <c r="AB197" s="345">
        <f>+'P01 2024'!CM114</f>
        <v>2640</v>
      </c>
      <c r="AC197" s="241">
        <f>+'P01 2024'!DB109</f>
        <v>18903.491000000002</v>
      </c>
      <c r="AD197" s="345">
        <v>0</v>
      </c>
      <c r="AE197" s="457">
        <f>SUM(AE198:AE199)</f>
        <v>7197.12</v>
      </c>
      <c r="AF197" s="241">
        <f>+'P01 2024'!ET100</f>
        <v>88959.485000000001</v>
      </c>
      <c r="AG197" s="1010">
        <f>+'P01 2024'!FL122</f>
        <v>45579.02</v>
      </c>
      <c r="AH197" s="915"/>
      <c r="AI197" s="915"/>
      <c r="AJ197" s="915"/>
      <c r="AK197" s="915"/>
      <c r="AL197" s="916"/>
      <c r="AM197" s="210"/>
      <c r="AN197" s="210"/>
      <c r="AO197" s="210"/>
      <c r="AP197" s="210"/>
      <c r="AQ197" s="210"/>
      <c r="AR197" s="210"/>
      <c r="AS197" s="210"/>
      <c r="AT197" s="210"/>
      <c r="AU197" s="210"/>
      <c r="AV197" s="210"/>
      <c r="AW197" s="210"/>
      <c r="AX197" s="201"/>
      <c r="AY197" s="201"/>
      <c r="AZ197" s="201"/>
      <c r="BA197" s="201"/>
      <c r="BB197" s="201"/>
      <c r="BC197" s="905"/>
      <c r="BD197" s="905"/>
      <c r="BE197" s="577"/>
      <c r="BF197" s="577"/>
      <c r="BG197" s="198"/>
      <c r="BH197" s="580"/>
      <c r="BI197" s="201"/>
      <c r="BJ197" s="258"/>
      <c r="BK197" s="211"/>
      <c r="BL197" s="211"/>
      <c r="BM197" s="258"/>
      <c r="BN197" s="258"/>
      <c r="BO197" s="258"/>
      <c r="BP197" s="258"/>
    </row>
    <row r="198" spans="1:69" s="439" customFormat="1" ht="15" hidden="1" customHeight="1" x14ac:dyDescent="0.25">
      <c r="A198" s="459"/>
      <c r="B198" s="584" t="s">
        <v>582</v>
      </c>
      <c r="C198" s="692"/>
      <c r="D198" s="603"/>
      <c r="E198" s="461" t="s">
        <v>167</v>
      </c>
      <c r="F198" s="461"/>
      <c r="G198" s="434" t="str">
        <f>+CONCATENATE($C$189,"",$D$197,"",E198)</f>
        <v>29.07.001</v>
      </c>
      <c r="H198" s="456" t="s">
        <v>214</v>
      </c>
      <c r="I198" s="712">
        <f>+'P01 2025'!F139+11957</f>
        <v>213085</v>
      </c>
      <c r="J198" s="429">
        <f>+'P01 2025'!U142</f>
        <v>201128</v>
      </c>
      <c r="K198" s="436">
        <f ca="1">SUMIF(T$3:$AG187,"ok",T198:AG198)</f>
        <v>0</v>
      </c>
      <c r="L198" s="570">
        <f t="shared" ca="1" si="39"/>
        <v>0</v>
      </c>
      <c r="M198" s="429">
        <f>+'P01 2025'!W142</f>
        <v>0</v>
      </c>
      <c r="N198" s="570">
        <f t="shared" si="36"/>
        <v>0</v>
      </c>
      <c r="O198" s="429">
        <f t="shared" si="38"/>
        <v>201128</v>
      </c>
      <c r="P198" s="693">
        <f t="shared" si="26"/>
        <v>1</v>
      </c>
      <c r="Q198" s="345">
        <f>+'P01 2024'!X137</f>
        <v>145607.38675000001</v>
      </c>
      <c r="R198" s="241">
        <f ca="1">SUMIF(T$3:$AG179,"SI",T198:AG198)</f>
        <v>8440.2000000000007</v>
      </c>
      <c r="S198" s="974">
        <f t="shared" ca="1" si="37"/>
        <v>5.7965465821396597E-2</v>
      </c>
      <c r="T198" s="452">
        <f>+'P01 2025'!G139</f>
        <v>0</v>
      </c>
      <c r="U198" s="808">
        <f>+'P01 2024'!K138</f>
        <v>0</v>
      </c>
      <c r="V198" s="805">
        <v>0</v>
      </c>
      <c r="W198" s="241">
        <f>+'P01 2024'!Q85</f>
        <v>8440.2000000000007</v>
      </c>
      <c r="X198" s="946">
        <v>0</v>
      </c>
      <c r="Y198" s="454">
        <f>+'P01 2024'!AT92</f>
        <v>380.8</v>
      </c>
      <c r="Z198" s="345">
        <v>0</v>
      </c>
      <c r="AA198" s="345">
        <v>0</v>
      </c>
      <c r="AB198" s="345">
        <f>+'P01 2024'!CM115</f>
        <v>2640</v>
      </c>
      <c r="AC198" s="241">
        <f>+'P01 2024'!DB110</f>
        <v>18903.491000000002</v>
      </c>
      <c r="AD198" s="345">
        <v>0</v>
      </c>
      <c r="AE198" s="241">
        <f>'P01 2024'!EG103</f>
        <v>7197.12</v>
      </c>
      <c r="AF198" s="241">
        <f>+'P01 2024'!ET101</f>
        <v>88959.485000000001</v>
      </c>
      <c r="AG198" s="1010">
        <f>+'P01 2024'!FL123</f>
        <v>45579.02</v>
      </c>
      <c r="AH198" s="915"/>
      <c r="AI198" s="915"/>
      <c r="AJ198" s="915"/>
      <c r="AK198" s="915"/>
      <c r="AL198" s="916"/>
      <c r="AM198" s="210"/>
      <c r="AN198" s="210"/>
      <c r="AO198" s="210"/>
      <c r="AP198" s="210"/>
      <c r="AQ198" s="210"/>
      <c r="AR198" s="210"/>
      <c r="AS198" s="210"/>
      <c r="AT198" s="210"/>
      <c r="AU198" s="210"/>
      <c r="AV198" s="210"/>
      <c r="AW198" s="210"/>
      <c r="AX198" s="201"/>
      <c r="AY198" s="201"/>
      <c r="AZ198" s="201"/>
      <c r="BA198" s="201"/>
      <c r="BB198" s="201"/>
      <c r="BC198" s="905"/>
      <c r="BD198" s="905"/>
      <c r="BE198" s="577"/>
      <c r="BF198" s="577"/>
      <c r="BG198" s="198"/>
      <c r="BH198" s="580"/>
      <c r="BI198" s="201"/>
      <c r="BJ198" s="258"/>
      <c r="BK198" s="211"/>
      <c r="BL198" s="211"/>
      <c r="BM198" s="258"/>
      <c r="BN198" s="258"/>
      <c r="BO198" s="258"/>
      <c r="BP198" s="258"/>
    </row>
    <row r="199" spans="1:69" s="439" customFormat="1" ht="15" hidden="1" customHeight="1" x14ac:dyDescent="0.25">
      <c r="A199" s="459"/>
      <c r="B199" s="584" t="s">
        <v>767</v>
      </c>
      <c r="C199" s="692"/>
      <c r="D199" s="603"/>
      <c r="E199" s="461" t="s">
        <v>163</v>
      </c>
      <c r="F199" s="461"/>
      <c r="G199" s="434" t="s">
        <v>838</v>
      </c>
      <c r="H199" s="456" t="s">
        <v>837</v>
      </c>
      <c r="I199" s="342">
        <v>0</v>
      </c>
      <c r="J199" s="429">
        <v>0</v>
      </c>
      <c r="K199" s="436">
        <f ca="1">SUMIF(T$3:$AG188,"ok",T199:AG199)</f>
        <v>0</v>
      </c>
      <c r="L199" s="570">
        <f t="shared" ca="1" si="39"/>
        <v>0</v>
      </c>
      <c r="M199" s="429">
        <v>0</v>
      </c>
      <c r="N199" s="570">
        <f t="shared" si="36"/>
        <v>0</v>
      </c>
      <c r="O199" s="429">
        <f t="shared" si="38"/>
        <v>0</v>
      </c>
      <c r="P199" s="693">
        <f t="shared" si="26"/>
        <v>0</v>
      </c>
      <c r="Q199" s="345">
        <f>+'P01 2024'!X138</f>
        <v>92888.699250000005</v>
      </c>
      <c r="R199" s="241">
        <f ca="1">SUMIF(T$3:$AG180,"SI",T199:AG199)</f>
        <v>4328.3377500000006</v>
      </c>
      <c r="S199" s="974">
        <f t="shared" ca="1" si="37"/>
        <v>4.6597032630963452E-2</v>
      </c>
      <c r="T199" s="452">
        <v>0</v>
      </c>
      <c r="U199" s="808">
        <f>+'P01 2024'!K137</f>
        <v>4328.3377500000006</v>
      </c>
      <c r="V199" s="805">
        <v>0</v>
      </c>
      <c r="W199" s="438">
        <v>0</v>
      </c>
      <c r="X199" s="946">
        <v>0</v>
      </c>
      <c r="Y199" s="454">
        <f>+'P01 2024'!AT93</f>
        <v>5815.4250000000002</v>
      </c>
      <c r="Z199" s="345">
        <v>0</v>
      </c>
      <c r="AA199" s="345">
        <f>+'P01 2024'!BX103</f>
        <v>2492.3249999999998</v>
      </c>
      <c r="AB199" s="241">
        <v>0</v>
      </c>
      <c r="AC199" s="241">
        <v>0</v>
      </c>
      <c r="AD199" s="345">
        <v>0</v>
      </c>
      <c r="AE199" s="345">
        <v>0</v>
      </c>
      <c r="AF199" s="345">
        <v>0</v>
      </c>
      <c r="AG199" s="1010">
        <v>0</v>
      </c>
      <c r="AH199" s="915"/>
      <c r="AI199" s="915"/>
      <c r="AJ199" s="915"/>
      <c r="AK199" s="915"/>
      <c r="AL199" s="916"/>
      <c r="AM199" s="210"/>
      <c r="AN199" s="210"/>
      <c r="AO199" s="210"/>
      <c r="AP199" s="210"/>
      <c r="AQ199" s="210"/>
      <c r="AR199" s="210"/>
      <c r="AS199" s="210"/>
      <c r="AT199" s="210"/>
      <c r="AU199" s="210"/>
      <c r="AV199" s="210"/>
      <c r="AW199" s="210"/>
      <c r="AX199" s="201"/>
      <c r="AY199" s="201"/>
      <c r="AZ199" s="201"/>
      <c r="BA199" s="201"/>
      <c r="BB199" s="201"/>
      <c r="BC199" s="905"/>
      <c r="BD199" s="905"/>
      <c r="BE199" s="577"/>
      <c r="BF199" s="577"/>
      <c r="BG199" s="198"/>
      <c r="BH199" s="580"/>
      <c r="BI199" s="201"/>
      <c r="BJ199" s="258"/>
      <c r="BK199" s="211"/>
      <c r="BL199" s="211"/>
      <c r="BM199" s="258"/>
      <c r="BN199" s="258"/>
      <c r="BO199" s="258"/>
      <c r="BP199" s="258"/>
    </row>
    <row r="200" spans="1:69" s="417" customFormat="1" ht="15" customHeight="1" x14ac:dyDescent="0.25">
      <c r="A200" s="895"/>
      <c r="B200" s="585" t="s">
        <v>881</v>
      </c>
      <c r="C200" s="961">
        <v>33</v>
      </c>
      <c r="D200" s="468"/>
      <c r="E200" s="468"/>
      <c r="F200" s="468"/>
      <c r="G200" s="468"/>
      <c r="H200" s="902" t="s">
        <v>884</v>
      </c>
      <c r="I200" s="195">
        <v>0</v>
      </c>
      <c r="J200" s="195">
        <v>0</v>
      </c>
      <c r="K200" s="195">
        <f ca="1">SUMIF(T$3:$AG189,"ok",T200:AG200)</f>
        <v>0</v>
      </c>
      <c r="L200" s="562">
        <f t="shared" ca="1" si="39"/>
        <v>0</v>
      </c>
      <c r="M200" s="195">
        <v>0</v>
      </c>
      <c r="N200" s="562">
        <f t="shared" si="36"/>
        <v>0</v>
      </c>
      <c r="O200" s="195">
        <f t="shared" si="38"/>
        <v>0</v>
      </c>
      <c r="P200" s="562">
        <f t="shared" si="26"/>
        <v>0</v>
      </c>
      <c r="Q200" s="442">
        <f>+'P01 2024'!X139</f>
        <v>200119194.74000001</v>
      </c>
      <c r="R200" s="195">
        <f ca="1">SUMIF(T$3:$AG184,"SI",T200:AG200)</f>
        <v>218926.28400000001</v>
      </c>
      <c r="S200" s="226">
        <f t="shared" ca="1" si="37"/>
        <v>1.093979437027191E-3</v>
      </c>
      <c r="T200" s="806">
        <v>0</v>
      </c>
      <c r="U200" s="806">
        <f>+'P01 2024'!K138</f>
        <v>0</v>
      </c>
      <c r="V200" s="804">
        <v>0</v>
      </c>
      <c r="W200" s="445">
        <f>+'P01 2024'!Q86</f>
        <v>218926.28400000001</v>
      </c>
      <c r="X200" s="943">
        <f>+'P01 2024'!AE100</f>
        <v>793468</v>
      </c>
      <c r="Y200" s="208">
        <v>0</v>
      </c>
      <c r="Z200" s="208">
        <v>0</v>
      </c>
      <c r="AA200" s="208">
        <v>0</v>
      </c>
      <c r="AB200" s="208">
        <v>0</v>
      </c>
      <c r="AC200" s="208">
        <v>0</v>
      </c>
      <c r="AD200" s="208">
        <f>+'P01 2024'!DR99</f>
        <v>1717703.4569999999</v>
      </c>
      <c r="AE200" s="208">
        <f>SUM(AE201:AE202)</f>
        <v>0</v>
      </c>
      <c r="AF200" s="208">
        <f>+'P01 2024'!ET102</f>
        <v>4109387.1269999999</v>
      </c>
      <c r="AG200" s="1005">
        <f>+'P01 2024'!FL124</f>
        <v>618892.41599999997</v>
      </c>
      <c r="AH200" s="915"/>
      <c r="AI200" s="915"/>
      <c r="AJ200" s="915"/>
      <c r="AK200" s="915"/>
      <c r="AL200" s="916"/>
      <c r="AM200" s="210"/>
      <c r="AN200" s="210"/>
      <c r="AO200" s="210"/>
      <c r="AP200" s="210"/>
      <c r="AQ200" s="210"/>
      <c r="AR200" s="210"/>
      <c r="AS200" s="210"/>
      <c r="AT200" s="210"/>
      <c r="AU200" s="210"/>
      <c r="AV200" s="210"/>
      <c r="AW200" s="210"/>
      <c r="AX200" s="201"/>
      <c r="AY200" s="201"/>
      <c r="AZ200" s="201"/>
      <c r="BA200" s="201"/>
      <c r="BB200" s="201"/>
      <c r="BC200" s="905"/>
      <c r="BD200" s="905"/>
      <c r="BE200" s="577"/>
      <c r="BF200" s="577"/>
      <c r="BG200" s="198"/>
      <c r="BH200" s="580"/>
      <c r="BI200" s="201"/>
      <c r="BJ200" s="210"/>
      <c r="BK200" s="201"/>
      <c r="BL200" s="201"/>
      <c r="BM200" s="210"/>
      <c r="BN200" s="210"/>
      <c r="BO200" s="210"/>
      <c r="BP200" s="210"/>
    </row>
    <row r="201" spans="1:69" s="417" customFormat="1" ht="15" hidden="1" customHeight="1" x14ac:dyDescent="0.25">
      <c r="A201" s="895"/>
      <c r="B201" s="585" t="s">
        <v>882</v>
      </c>
      <c r="C201" s="965"/>
      <c r="D201" s="238" t="s">
        <v>162</v>
      </c>
      <c r="E201" s="238"/>
      <c r="F201" s="465"/>
      <c r="G201" s="469" t="s">
        <v>423</v>
      </c>
      <c r="H201" s="901" t="s">
        <v>86</v>
      </c>
      <c r="I201" s="195">
        <v>0</v>
      </c>
      <c r="J201" s="791">
        <v>0</v>
      </c>
      <c r="K201" s="415">
        <f ca="1">SUMIF(T$3:$AG190,"ok",T201:AG201)</f>
        <v>0</v>
      </c>
      <c r="L201" s="575">
        <f t="shared" ca="1" si="39"/>
        <v>0</v>
      </c>
      <c r="M201" s="791">
        <v>0</v>
      </c>
      <c r="N201" s="575">
        <f t="shared" si="36"/>
        <v>0</v>
      </c>
      <c r="O201" s="791">
        <f t="shared" si="38"/>
        <v>0</v>
      </c>
      <c r="P201" s="691">
        <f t="shared" si="26"/>
        <v>0</v>
      </c>
      <c r="Q201" s="442">
        <f>+'P01 2024'!X140</f>
        <v>200119194.74000001</v>
      </c>
      <c r="R201" s="109">
        <f ca="1">SUMIF(T$3:$AG186,"SI",T201:AG201)</f>
        <v>218926.28400000001</v>
      </c>
      <c r="S201" s="226">
        <f t="shared" ca="1" si="37"/>
        <v>1.093979437027191E-3</v>
      </c>
      <c r="T201" s="962">
        <v>0</v>
      </c>
      <c r="U201" s="809">
        <f>+'P01 2024'!K139</f>
        <v>0</v>
      </c>
      <c r="V201" s="804">
        <v>0</v>
      </c>
      <c r="W201" s="109">
        <f>+'P01 2024'!Q87</f>
        <v>218926.28400000001</v>
      </c>
      <c r="X201" s="947">
        <f>+'P01 2024'!AE101</f>
        <v>793468</v>
      </c>
      <c r="Y201" s="440">
        <v>0</v>
      </c>
      <c r="Z201" s="440">
        <v>0</v>
      </c>
      <c r="AA201" s="440">
        <v>0</v>
      </c>
      <c r="AB201" s="440">
        <v>0</v>
      </c>
      <c r="AC201" s="440">
        <v>0</v>
      </c>
      <c r="AD201" s="440">
        <f>+'P01 2024'!DR100</f>
        <v>1717703.4569999999</v>
      </c>
      <c r="AE201" s="440">
        <v>0</v>
      </c>
      <c r="AF201" s="440">
        <f>+'P01 2024'!ET103</f>
        <v>4109387.1269999999</v>
      </c>
      <c r="AG201" s="1088">
        <f>+'P01 2024'!FL125</f>
        <v>618892.41599999997</v>
      </c>
      <c r="AH201" s="915"/>
      <c r="AI201" s="915"/>
      <c r="AJ201" s="915"/>
      <c r="AK201" s="915"/>
      <c r="AL201" s="916"/>
      <c r="AM201" s="210"/>
      <c r="AN201" s="210"/>
      <c r="AO201" s="210"/>
      <c r="AP201" s="210"/>
      <c r="AQ201" s="210"/>
      <c r="AR201" s="210"/>
      <c r="AS201" s="210"/>
      <c r="AT201" s="210"/>
      <c r="AU201" s="210"/>
      <c r="AV201" s="210"/>
      <c r="AW201" s="210"/>
      <c r="AX201" s="201"/>
      <c r="AY201" s="201"/>
      <c r="AZ201" s="201"/>
      <c r="BA201" s="201"/>
      <c r="BB201" s="201"/>
      <c r="BC201" s="905"/>
      <c r="BD201" s="905"/>
      <c r="BE201" s="577"/>
      <c r="BF201" s="577"/>
      <c r="BG201" s="793"/>
      <c r="BH201" s="794"/>
      <c r="BI201" s="795"/>
      <c r="BJ201" s="792"/>
      <c r="BK201" s="795"/>
      <c r="BL201" s="795"/>
      <c r="BM201" s="792"/>
      <c r="BN201" s="792"/>
      <c r="BO201" s="792"/>
      <c r="BP201" s="792"/>
    </row>
    <row r="202" spans="1:69" ht="15" hidden="1" customHeight="1" x14ac:dyDescent="0.25">
      <c r="B202" s="233" t="s">
        <v>883</v>
      </c>
      <c r="C202" s="964"/>
      <c r="D202" s="304"/>
      <c r="E202" s="113">
        <v>100</v>
      </c>
      <c r="F202" s="113"/>
      <c r="G202" s="470" t="s">
        <v>907</v>
      </c>
      <c r="H202" s="456" t="s">
        <v>885</v>
      </c>
      <c r="I202" s="342">
        <v>0</v>
      </c>
      <c r="J202" s="429">
        <v>0</v>
      </c>
      <c r="K202" s="436">
        <f ca="1">SUMIF(T$3:$AG191,"ok",T202:AG202)</f>
        <v>0</v>
      </c>
      <c r="L202" s="564">
        <f t="shared" ca="1" si="39"/>
        <v>0</v>
      </c>
      <c r="M202" s="429">
        <v>0</v>
      </c>
      <c r="N202" s="564">
        <f t="shared" si="36"/>
        <v>0</v>
      </c>
      <c r="O202" s="429">
        <f t="shared" si="38"/>
        <v>0</v>
      </c>
      <c r="P202" s="228">
        <f t="shared" si="26"/>
        <v>0</v>
      </c>
      <c r="Q202" s="345">
        <f>+'P01 2024'!X141</f>
        <v>200119194.74000001</v>
      </c>
      <c r="R202" s="115">
        <f ca="1">SUMIF(T$3:$AG187,"SI",T202:AG202)</f>
        <v>218926.28400000001</v>
      </c>
      <c r="S202" s="227">
        <f t="shared" ca="1" si="37"/>
        <v>1.093979437027191E-3</v>
      </c>
      <c r="T202" s="422">
        <v>0</v>
      </c>
      <c r="U202" s="805">
        <f>+'P01 2024'!K140</f>
        <v>0</v>
      </c>
      <c r="V202" s="805">
        <v>0</v>
      </c>
      <c r="W202" s="115">
        <f>+'P01 2024'!Q88</f>
        <v>218926.28400000001</v>
      </c>
      <c r="X202" s="944">
        <f>+'P01 2024'!AE102</f>
        <v>793468</v>
      </c>
      <c r="Y202" s="112">
        <v>0</v>
      </c>
      <c r="Z202" s="112">
        <v>0</v>
      </c>
      <c r="AA202" s="112">
        <v>0</v>
      </c>
      <c r="AB202" s="112">
        <v>0</v>
      </c>
      <c r="AC202" s="112">
        <v>0</v>
      </c>
      <c r="AD202" s="112">
        <f>+'P01 2024'!DR101</f>
        <v>1717703.4569999999</v>
      </c>
      <c r="AE202" s="112">
        <v>0</v>
      </c>
      <c r="AF202" s="112">
        <f>+'P01 2024'!ET104</f>
        <v>4109387.1269999999</v>
      </c>
      <c r="AG202" s="1086">
        <f>+'P01 2024'!FL126</f>
        <v>618892.41599999997</v>
      </c>
      <c r="AH202" s="915"/>
      <c r="AI202" s="915"/>
      <c r="AJ202" s="915"/>
      <c r="AK202" s="915"/>
      <c r="AL202" s="916"/>
      <c r="BB202" s="201"/>
      <c r="BE202" s="577"/>
      <c r="BF202" s="577"/>
      <c r="BG202" s="198"/>
      <c r="BH202" s="580"/>
      <c r="BI202" s="201"/>
      <c r="BK202" s="201"/>
      <c r="BL202" s="201"/>
      <c r="BQ202" s="108"/>
    </row>
    <row r="203" spans="1:69" ht="15" customHeight="1" x14ac:dyDescent="0.25">
      <c r="B203" s="233" t="s">
        <v>402</v>
      </c>
      <c r="C203" s="961">
        <v>34</v>
      </c>
      <c r="D203" s="238"/>
      <c r="E203" s="326"/>
      <c r="F203" s="326"/>
      <c r="G203" s="326"/>
      <c r="H203" s="901" t="s">
        <v>83</v>
      </c>
      <c r="I203" s="195">
        <f>+'P01 2025'!F140</f>
        <v>16451809.1</v>
      </c>
      <c r="J203" s="195">
        <f>+'P01 2025'!U143</f>
        <v>16451809.1</v>
      </c>
      <c r="K203" s="195">
        <f ca="1">SUMIF(T$3:$AG192,"ok",T203:AG203)</f>
        <v>5299026.3020000001</v>
      </c>
      <c r="L203" s="562">
        <f t="shared" ca="1" si="39"/>
        <v>0.32209383599035318</v>
      </c>
      <c r="M203" s="195">
        <f>+'P01 2025'!W143</f>
        <v>5299026.3020000001</v>
      </c>
      <c r="N203" s="562">
        <f t="shared" si="36"/>
        <v>0.32209383599035318</v>
      </c>
      <c r="O203" s="195">
        <f t="shared" si="38"/>
        <v>11152782.798</v>
      </c>
      <c r="P203" s="562">
        <f t="shared" si="26"/>
        <v>0.67790616400964687</v>
      </c>
      <c r="Q203" s="442">
        <f>+'P01 2024'!X142</f>
        <v>15889503.952200001</v>
      </c>
      <c r="R203" s="195">
        <f ca="1">SUM(R204:R207)</f>
        <v>2149899.1653620005</v>
      </c>
      <c r="S203" s="562">
        <f t="shared" ca="1" si="37"/>
        <v>0.13530310145801205</v>
      </c>
      <c r="T203" s="806">
        <f>+'P01 2025'!G140</f>
        <v>2705198.2439999999</v>
      </c>
      <c r="U203" s="806">
        <f>+'P01 2024'!K141</f>
        <v>2149899.165362</v>
      </c>
      <c r="V203" s="962">
        <f>+'P01 2025'!N90</f>
        <v>2593828.0580000002</v>
      </c>
      <c r="W203" s="445">
        <v>0</v>
      </c>
      <c r="X203" s="943">
        <f>+'P01 2024'!AE103</f>
        <v>7947854.9369999999</v>
      </c>
      <c r="Y203" s="225">
        <v>0</v>
      </c>
      <c r="Z203" s="225">
        <v>0</v>
      </c>
      <c r="AA203" s="225">
        <f>+'P01 2024'!BX104</f>
        <v>143871.56</v>
      </c>
      <c r="AB203" s="225">
        <f>+'P01 2024'!CM116</f>
        <v>757827.31599999999</v>
      </c>
      <c r="AC203" s="109">
        <v>0</v>
      </c>
      <c r="AD203" s="208">
        <f>+'P01 2024'!DR102</f>
        <v>5421732.4759999998</v>
      </c>
      <c r="AE203" s="225">
        <f>SUM(AE204:AE207)</f>
        <v>0</v>
      </c>
      <c r="AF203" s="225">
        <v>0</v>
      </c>
      <c r="AG203" s="1006">
        <v>0</v>
      </c>
      <c r="AH203" s="915"/>
      <c r="AI203" s="915"/>
      <c r="AJ203" s="915"/>
      <c r="AK203" s="915"/>
      <c r="AL203" s="916"/>
      <c r="BB203" s="201"/>
      <c r="BE203" s="577"/>
      <c r="BF203" s="577"/>
      <c r="BG203" s="198"/>
      <c r="BH203" s="580"/>
      <c r="BI203" s="201"/>
      <c r="BK203" s="201"/>
      <c r="BL203" s="201"/>
      <c r="BQ203" s="108"/>
    </row>
    <row r="204" spans="1:69" ht="15" customHeight="1" x14ac:dyDescent="0.25">
      <c r="B204" s="233" t="s">
        <v>403</v>
      </c>
      <c r="C204" s="964"/>
      <c r="D204" s="604" t="s">
        <v>162</v>
      </c>
      <c r="E204" s="113"/>
      <c r="F204" s="113"/>
      <c r="G204" s="471" t="s">
        <v>201</v>
      </c>
      <c r="H204" s="899" t="s">
        <v>744</v>
      </c>
      <c r="I204" s="576">
        <f>+'P01 2025'!F141</f>
        <v>13716466</v>
      </c>
      <c r="J204" s="429">
        <f>+'P01 2025'!U144</f>
        <v>13716466</v>
      </c>
      <c r="K204" s="436">
        <f ca="1">SUMIF(T$3:$AG193,"ok",T204:AG204)</f>
        <v>1729970.892</v>
      </c>
      <c r="L204" s="569">
        <f t="shared" ca="1" si="39"/>
        <v>0.12612365984066157</v>
      </c>
      <c r="M204" s="429">
        <f>+'P01 2025'!W144</f>
        <v>1729970.892</v>
      </c>
      <c r="N204" s="569">
        <f t="shared" si="36"/>
        <v>0.12612365984066157</v>
      </c>
      <c r="O204" s="436">
        <f t="shared" si="38"/>
        <v>11986495.107999999</v>
      </c>
      <c r="P204" s="228">
        <f t="shared" si="26"/>
        <v>0.87387634015933835</v>
      </c>
      <c r="Q204" s="345">
        <f>+'P01 2024'!X143</f>
        <v>13220615.702</v>
      </c>
      <c r="R204" s="115">
        <f ca="1">SUMIF(T$3:$AG189,"SI",T204:AG204)</f>
        <v>0</v>
      </c>
      <c r="S204" s="227">
        <f t="shared" ca="1" si="37"/>
        <v>0</v>
      </c>
      <c r="T204" s="422">
        <f>+'P01 2025'!G141</f>
        <v>0</v>
      </c>
      <c r="U204" s="805">
        <f>+'P01 2024'!K142</f>
        <v>0</v>
      </c>
      <c r="V204" s="805">
        <f>+'P01 2025'!N91</f>
        <v>1729970.892</v>
      </c>
      <c r="W204" s="302">
        <v>0</v>
      </c>
      <c r="X204" s="944">
        <f>+'P01 2024'!AE104</f>
        <v>7143800.375</v>
      </c>
      <c r="Y204" s="112">
        <v>0</v>
      </c>
      <c r="Z204" s="112">
        <v>0</v>
      </c>
      <c r="AA204" s="115">
        <f>+'P01 2024'!BX105</f>
        <v>122198.149</v>
      </c>
      <c r="AB204" s="115">
        <v>0</v>
      </c>
      <c r="AC204" s="241">
        <v>0</v>
      </c>
      <c r="AD204" s="115">
        <f>+'P01 2024'!DR103</f>
        <v>5421732.4759999998</v>
      </c>
      <c r="AE204" s="115">
        <v>0</v>
      </c>
      <c r="AF204" s="302">
        <v>0</v>
      </c>
      <c r="AG204" s="1086">
        <v>0</v>
      </c>
      <c r="AH204" s="915"/>
      <c r="AI204" s="915"/>
      <c r="AJ204" s="915"/>
      <c r="AK204" s="915"/>
      <c r="AL204" s="916"/>
      <c r="BB204" s="201"/>
      <c r="BE204" s="577"/>
      <c r="BF204" s="577"/>
      <c r="BG204" s="198"/>
      <c r="BH204" s="580"/>
      <c r="BI204" s="201"/>
      <c r="BK204" s="201"/>
      <c r="BL204" s="201"/>
      <c r="BQ204" s="108"/>
    </row>
    <row r="205" spans="1:69" s="439" customFormat="1" ht="15" customHeight="1" x14ac:dyDescent="0.25">
      <c r="A205" s="459"/>
      <c r="B205" s="584" t="s">
        <v>405</v>
      </c>
      <c r="C205" s="692"/>
      <c r="D205" s="782" t="s">
        <v>166</v>
      </c>
      <c r="E205" s="461"/>
      <c r="F205" s="461"/>
      <c r="G205" s="783" t="s">
        <v>202</v>
      </c>
      <c r="H205" s="814" t="s">
        <v>85</v>
      </c>
      <c r="I205" s="576">
        <f>+'P01 2025'!F142</f>
        <v>2528207</v>
      </c>
      <c r="J205" s="429">
        <f>+'P01 2025'!U145</f>
        <v>2528207</v>
      </c>
      <c r="K205" s="436">
        <f ca="1">SUMIF(T$3:$AG194,"ok",T205:AG205)</f>
        <v>1876122.642</v>
      </c>
      <c r="L205" s="572">
        <f t="shared" ca="1" si="39"/>
        <v>0.74207635767166213</v>
      </c>
      <c r="M205" s="429">
        <f>+'P01 2025'!W145</f>
        <v>1876122.642</v>
      </c>
      <c r="N205" s="572">
        <f t="shared" si="36"/>
        <v>0.74207635767166213</v>
      </c>
      <c r="O205" s="560">
        <f t="shared" si="38"/>
        <v>652084.35800000001</v>
      </c>
      <c r="P205" s="693">
        <f t="shared" si="26"/>
        <v>0.25792364232833781</v>
      </c>
      <c r="Q205" s="345">
        <f>+'P01 2024'!X144</f>
        <v>2668877.7260000003</v>
      </c>
      <c r="R205" s="241">
        <f ca="1">SUMIF(T$3:$AG190,"SI",T205:AG205)</f>
        <v>1018711.9741740001</v>
      </c>
      <c r="S205" s="974">
        <f t="shared" ca="1" si="37"/>
        <v>0.38170050439170999</v>
      </c>
      <c r="T205" s="452">
        <f>+'P01 2025'!G142</f>
        <v>1012265.476</v>
      </c>
      <c r="U205" s="808">
        <f>+'P01 2024'!K143</f>
        <v>1018711.9741740001</v>
      </c>
      <c r="V205" s="805">
        <f>+'P01 2025'!N92</f>
        <v>863857.16599999997</v>
      </c>
      <c r="W205" s="457">
        <v>0</v>
      </c>
      <c r="X205" s="946">
        <f>+'P01 2024'!AE106</f>
        <v>804151.62600000005</v>
      </c>
      <c r="Y205" s="345">
        <v>0</v>
      </c>
      <c r="Z205" s="345">
        <v>0</v>
      </c>
      <c r="AA205" s="241">
        <f>+'P01 2024'!BX107</f>
        <v>21673.411</v>
      </c>
      <c r="AB205" s="241">
        <f>+'P01 2024'!CM117</f>
        <v>757827.31599999999</v>
      </c>
      <c r="AC205" s="241">
        <v>0</v>
      </c>
      <c r="AD205" s="345">
        <v>0</v>
      </c>
      <c r="AE205" s="241">
        <v>0</v>
      </c>
      <c r="AF205" s="345">
        <v>0</v>
      </c>
      <c r="AG205" s="1010">
        <v>0</v>
      </c>
      <c r="AH205" s="915"/>
      <c r="AI205" s="915"/>
      <c r="AJ205" s="915"/>
      <c r="AK205" s="915"/>
      <c r="AL205" s="916"/>
      <c r="AM205" s="210"/>
      <c r="AN205" s="210"/>
      <c r="AO205" s="210"/>
      <c r="AP205" s="210"/>
      <c r="AQ205" s="210"/>
      <c r="AR205" s="210"/>
      <c r="AS205" s="210"/>
      <c r="AT205" s="210"/>
      <c r="AU205" s="210"/>
      <c r="AV205" s="210"/>
      <c r="AW205" s="210"/>
      <c r="AX205" s="201"/>
      <c r="AY205" s="201"/>
      <c r="AZ205" s="201"/>
      <c r="BA205" s="201"/>
      <c r="BB205" s="201"/>
      <c r="BC205" s="905"/>
      <c r="BD205" s="905"/>
      <c r="BE205" s="577"/>
      <c r="BF205" s="577"/>
      <c r="BG205" s="213"/>
      <c r="BH205" s="336"/>
      <c r="BI205" s="211"/>
      <c r="BJ205" s="258"/>
      <c r="BK205" s="211"/>
      <c r="BL205" s="211"/>
      <c r="BM205" s="258"/>
      <c r="BN205" s="258"/>
      <c r="BO205" s="258"/>
      <c r="BP205" s="258"/>
    </row>
    <row r="206" spans="1:69" s="439" customFormat="1" ht="15" customHeight="1" x14ac:dyDescent="0.25">
      <c r="A206" s="459"/>
      <c r="B206" s="584" t="s">
        <v>964</v>
      </c>
      <c r="C206" s="692"/>
      <c r="D206" s="782" t="s">
        <v>180</v>
      </c>
      <c r="E206" s="461"/>
      <c r="F206" s="461"/>
      <c r="G206" s="783" t="s">
        <v>289</v>
      </c>
      <c r="H206" s="814" t="s">
        <v>288</v>
      </c>
      <c r="I206" s="576">
        <f>+'P01 2025'!F143</f>
        <v>207126</v>
      </c>
      <c r="J206" s="429">
        <f>+'P01 2025'!U146</f>
        <v>207126</v>
      </c>
      <c r="K206" s="436">
        <f ca="1">SUMIF(W$3:$AG192,"ok",W206:AG206)</f>
        <v>0</v>
      </c>
      <c r="L206" s="570">
        <f t="shared" ca="1" si="39"/>
        <v>0</v>
      </c>
      <c r="M206" s="429">
        <f>+'P01 2025'!W146</f>
        <v>0</v>
      </c>
      <c r="N206" s="570">
        <f t="shared" si="36"/>
        <v>0</v>
      </c>
      <c r="O206" s="436">
        <f t="shared" si="38"/>
        <v>207126</v>
      </c>
      <c r="P206" s="693">
        <f t="shared" si="26"/>
        <v>1</v>
      </c>
      <c r="Q206" s="345">
        <v>0</v>
      </c>
      <c r="R206" s="241">
        <f ca="1">SUMIF(T$3:$AG194,"SI",T206:AG206)</f>
        <v>0</v>
      </c>
      <c r="S206" s="974" t="str">
        <f t="shared" ca="1" si="37"/>
        <v>0,00%</v>
      </c>
      <c r="T206" s="452">
        <f>+'P01 2025'!G143</f>
        <v>0</v>
      </c>
      <c r="U206" s="808">
        <v>0</v>
      </c>
      <c r="V206" s="805">
        <v>0</v>
      </c>
      <c r="W206" s="457">
        <v>0</v>
      </c>
      <c r="X206" s="946">
        <v>0</v>
      </c>
      <c r="Y206" s="345">
        <v>0</v>
      </c>
      <c r="Z206" s="345">
        <v>0</v>
      </c>
      <c r="AA206" s="456">
        <v>0</v>
      </c>
      <c r="AB206" s="345">
        <v>0</v>
      </c>
      <c r="AC206" s="241">
        <v>0</v>
      </c>
      <c r="AD206" s="345">
        <v>0</v>
      </c>
      <c r="AE206" s="345">
        <v>0</v>
      </c>
      <c r="AF206" s="345">
        <v>0</v>
      </c>
      <c r="AG206" s="1003">
        <v>0</v>
      </c>
      <c r="AH206" s="915"/>
      <c r="AI206" s="915"/>
      <c r="AJ206" s="915"/>
      <c r="AK206" s="915"/>
      <c r="AL206" s="916"/>
      <c r="AM206" s="210"/>
      <c r="AN206" s="210"/>
      <c r="AO206" s="210"/>
      <c r="AP206" s="210"/>
      <c r="AQ206" s="210"/>
      <c r="AR206" s="210"/>
      <c r="AS206" s="210"/>
      <c r="AT206" s="210"/>
      <c r="AU206" s="210"/>
      <c r="AV206" s="210"/>
      <c r="AW206" s="210"/>
      <c r="AX206" s="201"/>
      <c r="AY206" s="201"/>
      <c r="AZ206" s="201"/>
      <c r="BA206" s="201"/>
      <c r="BB206" s="201"/>
      <c r="BC206" s="905"/>
      <c r="BD206" s="905"/>
      <c r="BE206" s="577"/>
      <c r="BF206" s="577"/>
      <c r="BG206" s="213"/>
      <c r="BH206" s="336"/>
      <c r="BI206" s="211"/>
      <c r="BJ206" s="258"/>
      <c r="BK206" s="211"/>
      <c r="BL206" s="211"/>
      <c r="BM206" s="258"/>
      <c r="BN206" s="258"/>
      <c r="BO206" s="258"/>
      <c r="BP206" s="258"/>
    </row>
    <row r="207" spans="1:69" s="439" customFormat="1" ht="15" customHeight="1" x14ac:dyDescent="0.25">
      <c r="A207" s="459"/>
      <c r="B207" s="584" t="s">
        <v>407</v>
      </c>
      <c r="C207" s="692"/>
      <c r="D207" s="782" t="s">
        <v>181</v>
      </c>
      <c r="E207" s="461"/>
      <c r="F207" s="461"/>
      <c r="G207" s="783" t="s">
        <v>203</v>
      </c>
      <c r="H207" s="814" t="s">
        <v>127</v>
      </c>
      <c r="I207" s="576">
        <f>+'P01 2025'!F144</f>
        <v>10.1</v>
      </c>
      <c r="J207" s="429">
        <f>+'P01 2025'!U147</f>
        <v>10.1</v>
      </c>
      <c r="K207" s="559">
        <f ca="1">SUMIF(T$3:$AG195,"ok",T207:AG207)</f>
        <v>1692932.7679999999</v>
      </c>
      <c r="L207" s="572">
        <v>1</v>
      </c>
      <c r="M207" s="429">
        <f>+'P01 2025'!W147</f>
        <v>1692932.7679999999</v>
      </c>
      <c r="N207" s="572">
        <v>1</v>
      </c>
      <c r="O207" s="560">
        <f t="shared" si="38"/>
        <v>-1692922.6679999998</v>
      </c>
      <c r="P207" s="693">
        <v>1</v>
      </c>
      <c r="Q207" s="345">
        <f>+'P01 2024'!X145</f>
        <v>10.5242</v>
      </c>
      <c r="R207" s="241">
        <f ca="1">SUMIF(T$3:$AG195,"SI",T207:AG207)</f>
        <v>1131187.1911880001</v>
      </c>
      <c r="S207" s="974">
        <v>1</v>
      </c>
      <c r="T207" s="452">
        <f>+'P01 2025'!G144</f>
        <v>1692932.7679999999</v>
      </c>
      <c r="U207" s="808">
        <f>+'P01 2024'!K144</f>
        <v>1131187.1911880001</v>
      </c>
      <c r="V207" s="808">
        <v>0</v>
      </c>
      <c r="W207" s="457">
        <v>0</v>
      </c>
      <c r="X207" s="946">
        <f>+'P01 2024'!AE109</f>
        <v>-97.063999999999993</v>
      </c>
      <c r="Y207" s="345">
        <v>0</v>
      </c>
      <c r="Z207" s="345">
        <v>0</v>
      </c>
      <c r="AA207" s="345">
        <v>0</v>
      </c>
      <c r="AB207" s="345">
        <v>0</v>
      </c>
      <c r="AC207" s="241">
        <v>0</v>
      </c>
      <c r="AD207" s="345">
        <v>0</v>
      </c>
      <c r="AE207" s="345">
        <v>0</v>
      </c>
      <c r="AF207" s="345">
        <v>0</v>
      </c>
      <c r="AG207" s="1010">
        <v>0</v>
      </c>
      <c r="AH207" s="915"/>
      <c r="AI207" s="915"/>
      <c r="AJ207" s="915"/>
      <c r="AK207" s="915"/>
      <c r="AL207" s="916"/>
      <c r="AM207" s="210"/>
      <c r="AN207" s="210"/>
      <c r="AO207" s="210"/>
      <c r="AP207" s="210"/>
      <c r="AQ207" s="210"/>
      <c r="AR207" s="210"/>
      <c r="AS207" s="210"/>
      <c r="AT207" s="210"/>
      <c r="AU207" s="210"/>
      <c r="AV207" s="210"/>
      <c r="AW207" s="210"/>
      <c r="AX207" s="201"/>
      <c r="AY207" s="201"/>
      <c r="AZ207" s="201"/>
      <c r="BA207" s="201"/>
      <c r="BB207" s="201"/>
      <c r="BC207" s="905"/>
      <c r="BD207" s="905"/>
      <c r="BE207" s="577"/>
      <c r="BF207" s="577"/>
      <c r="BG207" s="213"/>
      <c r="BH207" s="336"/>
      <c r="BI207" s="211"/>
      <c r="BJ207" s="258"/>
      <c r="BK207" s="211"/>
      <c r="BL207" s="211"/>
      <c r="BM207" s="258"/>
      <c r="BN207" s="258"/>
      <c r="BO207" s="258"/>
      <c r="BP207" s="258"/>
    </row>
    <row r="208" spans="1:69" ht="15" hidden="1" customHeight="1" thickBot="1" x14ac:dyDescent="0.3">
      <c r="B208" s="233" t="s">
        <v>965</v>
      </c>
      <c r="C208" s="872">
        <v>35</v>
      </c>
      <c r="D208" s="873"/>
      <c r="E208" s="877"/>
      <c r="F208" s="877"/>
      <c r="G208" s="877"/>
      <c r="H208" s="1104" t="s">
        <v>124</v>
      </c>
      <c r="I208" s="1105">
        <v>0</v>
      </c>
      <c r="J208" s="1096">
        <v>0</v>
      </c>
      <c r="K208" s="1096">
        <f ca="1">SUMIF(W$3:$AG194,"ok",W208:AG208)</f>
        <v>0</v>
      </c>
      <c r="L208" s="1097">
        <f t="shared" ca="1" si="39"/>
        <v>0</v>
      </c>
      <c r="M208" s="1096">
        <v>0</v>
      </c>
      <c r="N208" s="1097">
        <f t="shared" si="36"/>
        <v>0</v>
      </c>
      <c r="O208" s="1096">
        <f t="shared" si="38"/>
        <v>0</v>
      </c>
      <c r="P208" s="1106">
        <f t="shared" si="26"/>
        <v>0</v>
      </c>
      <c r="Q208" s="1100">
        <v>0</v>
      </c>
      <c r="R208" s="1099">
        <f ca="1">SUMIF(T$3:$AG198,"SI",T208:AG208)</f>
        <v>0</v>
      </c>
      <c r="S208" s="1101" t="str">
        <f t="shared" ca="1" si="37"/>
        <v>0,00%</v>
      </c>
      <c r="T208" s="1189">
        <v>0</v>
      </c>
      <c r="U208" s="1190">
        <v>0</v>
      </c>
      <c r="V208" s="1191">
        <v>0</v>
      </c>
      <c r="W208" s="1192">
        <v>0</v>
      </c>
      <c r="X208" s="1103">
        <v>0</v>
      </c>
      <c r="Y208" s="1093">
        <v>0</v>
      </c>
      <c r="Z208" s="1093">
        <v>0</v>
      </c>
      <c r="AA208" s="1093">
        <v>0</v>
      </c>
      <c r="AB208" s="1093">
        <v>0</v>
      </c>
      <c r="AC208" s="1092">
        <v>0</v>
      </c>
      <c r="AD208" s="1092">
        <v>0</v>
      </c>
      <c r="AE208" s="1093">
        <v>0</v>
      </c>
      <c r="AF208" s="1093">
        <v>0</v>
      </c>
      <c r="AG208" s="1094">
        <v>0</v>
      </c>
      <c r="AH208" s="915"/>
      <c r="AI208" s="915"/>
      <c r="AJ208" s="915"/>
      <c r="AK208" s="915"/>
      <c r="AL208" s="916"/>
      <c r="BB208" s="201"/>
      <c r="BE208" s="577"/>
      <c r="BF208" s="577"/>
      <c r="BG208" s="198"/>
      <c r="BH208" s="580"/>
      <c r="BI208" s="201"/>
      <c r="BK208" s="201"/>
      <c r="BL208" s="201"/>
      <c r="BQ208" s="108"/>
    </row>
    <row r="209" spans="3:70" x14ac:dyDescent="0.25">
      <c r="J209" s="473"/>
      <c r="K209" s="473"/>
      <c r="L209" s="573"/>
      <c r="M209" s="473"/>
      <c r="N209" s="573"/>
      <c r="O209" s="473"/>
      <c r="P209" s="573"/>
      <c r="Q209" s="472"/>
      <c r="S209" s="978"/>
      <c r="T209" s="482"/>
      <c r="U209" s="472"/>
      <c r="V209" s="472"/>
      <c r="W209" s="472"/>
      <c r="Z209" s="472"/>
      <c r="AA209" s="472"/>
      <c r="AB209" s="472"/>
      <c r="AC209" s="472"/>
      <c r="AD209" s="472"/>
      <c r="AE209" s="472"/>
      <c r="AF209" s="472"/>
      <c r="AG209" s="472"/>
      <c r="AH209" s="915"/>
      <c r="AI209" s="915"/>
      <c r="AJ209" s="915"/>
      <c r="AK209" s="915"/>
      <c r="AL209" s="929"/>
      <c r="BB209" s="201"/>
      <c r="BE209" s="577"/>
      <c r="BF209" s="577"/>
      <c r="BG209" s="198"/>
      <c r="BQ209" s="108"/>
    </row>
    <row r="210" spans="3:70" x14ac:dyDescent="0.25">
      <c r="Q210" s="472"/>
      <c r="T210" s="482"/>
      <c r="X210" s="478"/>
      <c r="Y210" s="478"/>
      <c r="AH210" s="915"/>
      <c r="AI210" s="915"/>
      <c r="AJ210" s="915"/>
      <c r="AK210" s="915"/>
      <c r="AL210" s="929"/>
      <c r="BB210" s="201"/>
      <c r="BE210" s="577"/>
      <c r="BF210" s="577"/>
      <c r="BG210" s="198"/>
      <c r="BQ210" s="202"/>
      <c r="BR210" s="202"/>
    </row>
    <row r="211" spans="3:70" x14ac:dyDescent="0.25">
      <c r="K211" s="473"/>
      <c r="Q211" s="472"/>
      <c r="X211" s="478"/>
      <c r="Y211" s="478"/>
      <c r="BB211" s="201"/>
      <c r="BE211" s="577"/>
      <c r="BF211" s="577"/>
      <c r="BG211" s="198"/>
      <c r="BQ211" s="202"/>
      <c r="BR211" s="202"/>
    </row>
    <row r="212" spans="3:70" ht="13.15" customHeight="1" x14ac:dyDescent="0.25">
      <c r="H212" s="479"/>
      <c r="I212" s="480"/>
      <c r="Q212" s="472"/>
      <c r="X212" s="478"/>
      <c r="Y212" s="478"/>
      <c r="BB212" s="201"/>
      <c r="BE212" s="577"/>
      <c r="BF212" s="577"/>
      <c r="BG212" s="198"/>
      <c r="BQ212" s="202"/>
      <c r="BR212" s="202"/>
    </row>
    <row r="213" spans="3:70" ht="15.75" customHeight="1" x14ac:dyDescent="0.25">
      <c r="C213" s="1276" t="s">
        <v>1046</v>
      </c>
      <c r="D213" s="1276"/>
      <c r="E213" s="1276"/>
      <c r="F213" s="1276"/>
      <c r="G213" s="1276"/>
      <c r="H213" s="1276"/>
      <c r="I213" s="1276"/>
      <c r="J213" s="1276"/>
      <c r="K213" s="1276"/>
      <c r="L213" s="1276"/>
      <c r="M213" s="1276"/>
      <c r="N213" s="1276"/>
      <c r="O213" s="1276"/>
      <c r="P213" s="1276"/>
      <c r="Q213" s="1276"/>
      <c r="R213" s="1276"/>
      <c r="S213" s="1276"/>
      <c r="X213" s="478"/>
      <c r="Y213" s="478"/>
      <c r="BB213" s="201"/>
      <c r="BE213" s="577"/>
      <c r="BF213" s="577"/>
      <c r="BG213" s="198"/>
      <c r="BQ213" s="202"/>
      <c r="BR213" s="202"/>
    </row>
    <row r="214" spans="3:70" x14ac:dyDescent="0.25">
      <c r="C214" s="1276"/>
      <c r="D214" s="1276"/>
      <c r="E214" s="1276"/>
      <c r="F214" s="1276"/>
      <c r="G214" s="1276"/>
      <c r="H214" s="1276"/>
      <c r="I214" s="1276"/>
      <c r="J214" s="1276"/>
      <c r="K214" s="1276"/>
      <c r="L214" s="1276"/>
      <c r="M214" s="1276"/>
      <c r="N214" s="1276"/>
      <c r="O214" s="1276"/>
      <c r="P214" s="1276"/>
      <c r="Q214" s="1276"/>
      <c r="R214" s="1276"/>
      <c r="S214" s="1276"/>
      <c r="X214" s="478"/>
      <c r="Y214" s="478"/>
      <c r="BB214" s="201"/>
      <c r="BE214" s="577"/>
      <c r="BF214" s="577"/>
      <c r="BG214" s="198"/>
      <c r="BQ214" s="202"/>
      <c r="BR214" s="202"/>
    </row>
    <row r="215" spans="3:70" x14ac:dyDescent="0.25">
      <c r="C215" s="1276"/>
      <c r="D215" s="1276"/>
      <c r="E215" s="1276"/>
      <c r="F215" s="1276"/>
      <c r="G215" s="1276"/>
      <c r="H215" s="1276"/>
      <c r="I215" s="1276"/>
      <c r="J215" s="1276"/>
      <c r="K215" s="1276"/>
      <c r="L215" s="1276"/>
      <c r="M215" s="1276"/>
      <c r="N215" s="1276"/>
      <c r="O215" s="1276"/>
      <c r="P215" s="1276"/>
      <c r="Q215" s="1276"/>
      <c r="R215" s="1276"/>
      <c r="S215" s="1276"/>
      <c r="U215" s="198"/>
      <c r="X215" s="478"/>
      <c r="Y215" s="478"/>
      <c r="BB215" s="201"/>
      <c r="BE215" s="577"/>
      <c r="BF215" s="577"/>
      <c r="BG215" s="198"/>
      <c r="BQ215" s="202"/>
      <c r="BR215" s="202"/>
    </row>
    <row r="216" spans="3:70" x14ac:dyDescent="0.25">
      <c r="H216" s="478"/>
      <c r="L216" s="481"/>
      <c r="N216" s="481"/>
      <c r="P216" s="481"/>
      <c r="Q216" s="483"/>
      <c r="S216" s="481"/>
      <c r="T216" s="482"/>
      <c r="U216" s="481"/>
      <c r="V216" s="481"/>
      <c r="W216" s="483"/>
      <c r="X216" s="478"/>
      <c r="Y216" s="478"/>
      <c r="BB216" s="201"/>
      <c r="BE216" s="577"/>
      <c r="BF216" s="577"/>
      <c r="BQ216" s="202"/>
      <c r="BR216" s="202"/>
    </row>
    <row r="217" spans="3:70" x14ac:dyDescent="0.25">
      <c r="H217" s="478"/>
      <c r="L217" s="481"/>
      <c r="N217" s="481"/>
      <c r="P217" s="481"/>
      <c r="Q217" s="483"/>
      <c r="S217" s="481"/>
      <c r="T217" s="482"/>
      <c r="U217" s="481"/>
      <c r="V217" s="481"/>
      <c r="W217" s="483"/>
      <c r="X217" s="478"/>
      <c r="Y217" s="478"/>
      <c r="BB217" s="201"/>
      <c r="BE217" s="577"/>
      <c r="BF217" s="577"/>
      <c r="BQ217" s="202"/>
      <c r="BR217" s="202"/>
    </row>
    <row r="218" spans="3:70" x14ac:dyDescent="0.25">
      <c r="H218" s="478"/>
      <c r="L218" s="481"/>
      <c r="N218" s="481"/>
      <c r="P218" s="481"/>
      <c r="Q218" s="483"/>
      <c r="S218" s="481"/>
      <c r="T218" s="482"/>
      <c r="U218" s="481"/>
      <c r="V218" s="481"/>
      <c r="W218" s="483"/>
      <c r="X218" s="478"/>
      <c r="Y218" s="478"/>
      <c r="BB218" s="201"/>
      <c r="BE218" s="577"/>
      <c r="BF218" s="577"/>
      <c r="BQ218" s="202"/>
      <c r="BR218" s="202"/>
    </row>
    <row r="219" spans="3:70" x14ac:dyDescent="0.25">
      <c r="H219" s="478"/>
      <c r="L219" s="481"/>
      <c r="N219" s="481"/>
      <c r="P219" s="481"/>
      <c r="Q219" s="483"/>
      <c r="S219" s="481"/>
      <c r="T219" s="482"/>
      <c r="U219" s="481"/>
      <c r="V219" s="481"/>
      <c r="W219" s="483"/>
      <c r="X219" s="478"/>
      <c r="Y219" s="478"/>
      <c r="BB219" s="201"/>
      <c r="BE219" s="577"/>
      <c r="BF219" s="577"/>
      <c r="BQ219" s="202"/>
      <c r="BR219" s="202"/>
    </row>
    <row r="220" spans="3:70" x14ac:dyDescent="0.25">
      <c r="H220" s="478"/>
      <c r="L220" s="481"/>
      <c r="N220" s="481"/>
      <c r="P220" s="481"/>
      <c r="Q220" s="483"/>
      <c r="S220" s="481"/>
      <c r="T220" s="482"/>
      <c r="U220" s="481"/>
      <c r="V220" s="481"/>
      <c r="W220" s="483"/>
      <c r="X220" s="478"/>
      <c r="Y220" s="478"/>
      <c r="BB220" s="201"/>
      <c r="BE220" s="577"/>
      <c r="BF220" s="577"/>
      <c r="BQ220" s="202"/>
      <c r="BR220" s="202"/>
    </row>
    <row r="221" spans="3:70" x14ac:dyDescent="0.25">
      <c r="H221" s="478"/>
      <c r="L221" s="481"/>
      <c r="N221" s="481"/>
      <c r="P221" s="481"/>
      <c r="Q221" s="483"/>
      <c r="S221" s="481"/>
      <c r="T221" s="482"/>
      <c r="U221" s="481"/>
      <c r="V221" s="481"/>
      <c r="W221" s="483"/>
      <c r="X221" s="478"/>
      <c r="Y221" s="478"/>
      <c r="BB221" s="201"/>
      <c r="BE221" s="577"/>
      <c r="BF221" s="577"/>
      <c r="BQ221" s="202"/>
      <c r="BR221" s="202"/>
    </row>
    <row r="222" spans="3:70" x14ac:dyDescent="0.25">
      <c r="H222" s="478"/>
      <c r="L222" s="481"/>
      <c r="N222" s="481"/>
      <c r="P222" s="481"/>
      <c r="Q222" s="483"/>
      <c r="S222" s="481"/>
      <c r="T222" s="482"/>
      <c r="U222" s="481"/>
      <c r="V222" s="481"/>
      <c r="W222" s="483"/>
      <c r="X222" s="478"/>
      <c r="Y222" s="478"/>
      <c r="BB222" s="201"/>
      <c r="BE222" s="577"/>
      <c r="BF222" s="577"/>
      <c r="BQ222" s="202"/>
      <c r="BR222" s="202"/>
    </row>
    <row r="223" spans="3:70" x14ac:dyDescent="0.25">
      <c r="H223" s="478"/>
      <c r="L223" s="481"/>
      <c r="N223" s="481"/>
      <c r="P223" s="481"/>
      <c r="Q223" s="483"/>
      <c r="S223" s="481"/>
      <c r="T223" s="482"/>
      <c r="U223" s="481"/>
      <c r="V223" s="481"/>
      <c r="W223" s="483"/>
      <c r="X223" s="478"/>
      <c r="Y223" s="478"/>
      <c r="BB223" s="201"/>
      <c r="BE223" s="577"/>
      <c r="BF223" s="577"/>
      <c r="BQ223" s="202"/>
      <c r="BR223" s="202"/>
    </row>
    <row r="224" spans="3:70" x14ac:dyDescent="0.25">
      <c r="H224" s="478"/>
      <c r="L224" s="481"/>
      <c r="N224" s="481"/>
      <c r="P224" s="481"/>
      <c r="Q224" s="483"/>
      <c r="S224" s="481"/>
      <c r="T224" s="482"/>
      <c r="U224" s="481"/>
      <c r="V224" s="481"/>
      <c r="W224" s="483"/>
      <c r="X224" s="478"/>
      <c r="Y224" s="478"/>
      <c r="BB224" s="201"/>
      <c r="BE224" s="577"/>
      <c r="BF224" s="577"/>
      <c r="BQ224" s="202"/>
      <c r="BR224" s="202"/>
    </row>
    <row r="225" spans="12:70" x14ac:dyDescent="0.25">
      <c r="L225" s="481"/>
      <c r="N225" s="481"/>
      <c r="P225" s="481"/>
      <c r="Q225" s="483"/>
      <c r="S225" s="481"/>
      <c r="T225" s="482"/>
      <c r="U225" s="481"/>
      <c r="V225" s="481"/>
      <c r="W225" s="483"/>
      <c r="X225" s="478"/>
      <c r="Y225" s="478"/>
      <c r="BB225" s="201"/>
      <c r="BE225" s="577"/>
      <c r="BF225" s="577"/>
      <c r="BQ225" s="202"/>
      <c r="BR225" s="202"/>
    </row>
    <row r="226" spans="12:70" x14ac:dyDescent="0.25">
      <c r="L226" s="481"/>
      <c r="N226" s="481"/>
      <c r="P226" s="481"/>
      <c r="Q226" s="483"/>
      <c r="S226" s="481"/>
      <c r="T226" s="482"/>
      <c r="U226" s="481"/>
      <c r="V226" s="481"/>
      <c r="W226" s="483"/>
      <c r="X226" s="478"/>
      <c r="Y226" s="478"/>
      <c r="BB226" s="201"/>
      <c r="BE226" s="577"/>
      <c r="BF226" s="577"/>
      <c r="BQ226" s="202"/>
      <c r="BR226" s="202"/>
    </row>
    <row r="227" spans="12:70" x14ac:dyDescent="0.25">
      <c r="L227" s="481"/>
      <c r="N227" s="481"/>
      <c r="P227" s="481"/>
      <c r="Q227" s="483"/>
      <c r="S227" s="481"/>
      <c r="T227" s="482"/>
      <c r="U227" s="481"/>
      <c r="V227" s="481"/>
      <c r="W227" s="483"/>
      <c r="X227" s="478"/>
      <c r="Y227" s="478"/>
      <c r="BB227" s="201"/>
      <c r="BE227" s="577"/>
      <c r="BF227" s="577"/>
      <c r="BQ227" s="108"/>
    </row>
    <row r="228" spans="12:70" x14ac:dyDescent="0.25">
      <c r="X228" s="478"/>
      <c r="Y228" s="478"/>
      <c r="BB228" s="201"/>
      <c r="BE228" s="577"/>
      <c r="BF228" s="577"/>
      <c r="BQ228" s="108"/>
    </row>
    <row r="229" spans="12:70" x14ac:dyDescent="0.25">
      <c r="X229" s="478"/>
      <c r="Y229" s="478"/>
      <c r="BB229" s="201"/>
      <c r="BE229" s="577"/>
      <c r="BF229" s="577"/>
      <c r="BQ229" s="108"/>
    </row>
    <row r="230" spans="12:70" x14ac:dyDescent="0.25">
      <c r="X230" s="478"/>
      <c r="Y230" s="478"/>
      <c r="BB230" s="201"/>
      <c r="BE230" s="577"/>
      <c r="BF230" s="577"/>
      <c r="BQ230" s="108"/>
    </row>
    <row r="231" spans="12:70" x14ac:dyDescent="0.25">
      <c r="X231" s="478"/>
      <c r="Y231" s="478"/>
      <c r="BB231" s="201"/>
      <c r="BE231" s="577"/>
      <c r="BF231" s="577"/>
      <c r="BQ231" s="108"/>
    </row>
    <row r="232" spans="12:70" x14ac:dyDescent="0.25">
      <c r="X232" s="478"/>
      <c r="Y232" s="478"/>
      <c r="BB232" s="201"/>
      <c r="BE232" s="577"/>
      <c r="BF232" s="577"/>
      <c r="BQ232" s="108"/>
    </row>
    <row r="233" spans="12:70" x14ac:dyDescent="0.25">
      <c r="X233" s="478"/>
      <c r="Y233" s="478"/>
      <c r="BB233" s="201"/>
      <c r="BE233" s="577"/>
      <c r="BF233" s="577"/>
      <c r="BQ233" s="108"/>
    </row>
    <row r="234" spans="12:70" x14ac:dyDescent="0.25">
      <c r="X234" s="478"/>
      <c r="Y234" s="478"/>
      <c r="BB234" s="201"/>
      <c r="BE234" s="577"/>
      <c r="BF234" s="577"/>
      <c r="BQ234" s="108"/>
    </row>
    <row r="235" spans="12:70" x14ac:dyDescent="0.25">
      <c r="X235" s="478"/>
      <c r="Y235" s="478"/>
      <c r="BB235" s="201"/>
      <c r="BE235" s="577"/>
      <c r="BF235" s="577"/>
      <c r="BQ235" s="108"/>
    </row>
    <row r="236" spans="12:70" x14ac:dyDescent="0.25">
      <c r="X236" s="478"/>
      <c r="Y236" s="478"/>
      <c r="BB236" s="201"/>
      <c r="BE236" s="577"/>
      <c r="BF236" s="577"/>
      <c r="BQ236" s="108"/>
    </row>
    <row r="237" spans="12:70" x14ac:dyDescent="0.25">
      <c r="X237" s="478"/>
      <c r="Y237" s="478"/>
      <c r="BB237" s="201"/>
      <c r="BE237" s="577"/>
      <c r="BF237" s="577"/>
      <c r="BQ237" s="108"/>
    </row>
    <row r="238" spans="12:70" x14ac:dyDescent="0.25">
      <c r="X238" s="478"/>
      <c r="Y238" s="478"/>
      <c r="BB238" s="201"/>
      <c r="BE238" s="577"/>
      <c r="BF238" s="577"/>
      <c r="BQ238" s="108"/>
    </row>
    <row r="239" spans="12:70" x14ac:dyDescent="0.25">
      <c r="X239" s="478"/>
      <c r="Y239" s="478"/>
      <c r="BB239" s="201"/>
      <c r="BE239" s="577"/>
      <c r="BF239" s="577"/>
      <c r="BQ239" s="108"/>
    </row>
    <row r="240" spans="12:70" x14ac:dyDescent="0.25">
      <c r="X240" s="478"/>
      <c r="Y240" s="478"/>
      <c r="BB240" s="201"/>
      <c r="BE240" s="577"/>
      <c r="BF240" s="577"/>
      <c r="BQ240" s="108"/>
    </row>
    <row r="241" spans="24:69" x14ac:dyDescent="0.25">
      <c r="X241" s="478"/>
      <c r="Y241" s="478"/>
      <c r="BB241" s="201"/>
      <c r="BE241" s="577"/>
      <c r="BF241" s="577"/>
      <c r="BQ241" s="108"/>
    </row>
    <row r="242" spans="24:69" x14ac:dyDescent="0.25">
      <c r="X242" s="478"/>
      <c r="Y242" s="478"/>
      <c r="BB242" s="201"/>
      <c r="BE242" s="577"/>
      <c r="BF242" s="577"/>
      <c r="BQ242" s="108"/>
    </row>
    <row r="243" spans="24:69" x14ac:dyDescent="0.25">
      <c r="X243" s="478"/>
      <c r="Y243" s="478"/>
      <c r="BB243" s="201"/>
      <c r="BE243" s="577"/>
      <c r="BF243" s="577"/>
      <c r="BQ243" s="108"/>
    </row>
    <row r="244" spans="24:69" x14ac:dyDescent="0.25">
      <c r="X244" s="478"/>
      <c r="Y244" s="478"/>
      <c r="BB244" s="201"/>
      <c r="BE244" s="577"/>
      <c r="BF244" s="577"/>
      <c r="BQ244" s="108"/>
    </row>
    <row r="245" spans="24:69" x14ac:dyDescent="0.25">
      <c r="X245" s="478"/>
      <c r="Y245" s="478"/>
      <c r="BB245" s="201"/>
      <c r="BE245" s="577"/>
      <c r="BF245" s="577"/>
      <c r="BQ245" s="108"/>
    </row>
    <row r="246" spans="24:69" x14ac:dyDescent="0.25">
      <c r="X246" s="478"/>
      <c r="Y246" s="478"/>
      <c r="BB246" s="201"/>
      <c r="BE246" s="577"/>
      <c r="BF246" s="577"/>
      <c r="BQ246" s="108"/>
    </row>
    <row r="247" spans="24:69" x14ac:dyDescent="0.25">
      <c r="X247" s="478"/>
      <c r="Y247" s="478"/>
      <c r="BB247" s="201"/>
      <c r="BE247" s="577"/>
      <c r="BF247" s="577"/>
      <c r="BQ247" s="108"/>
    </row>
    <row r="248" spans="24:69" x14ac:dyDescent="0.25">
      <c r="X248" s="478"/>
      <c r="Y248" s="478"/>
      <c r="BB248" s="201"/>
      <c r="BE248" s="577"/>
      <c r="BF248" s="577"/>
      <c r="BQ248" s="108"/>
    </row>
    <row r="249" spans="24:69" x14ac:dyDescent="0.25">
      <c r="X249" s="478"/>
      <c r="Y249" s="478"/>
      <c r="BB249" s="201"/>
      <c r="BE249" s="577"/>
      <c r="BF249" s="577"/>
      <c r="BQ249" s="108"/>
    </row>
    <row r="250" spans="24:69" x14ac:dyDescent="0.25">
      <c r="X250" s="478"/>
      <c r="Y250" s="478"/>
      <c r="BB250" s="201"/>
      <c r="BE250" s="577"/>
      <c r="BF250" s="577"/>
      <c r="BQ250" s="108"/>
    </row>
    <row r="251" spans="24:69" x14ac:dyDescent="0.25">
      <c r="X251" s="478"/>
      <c r="Y251" s="478"/>
      <c r="BB251" s="201"/>
      <c r="BE251" s="577"/>
      <c r="BF251" s="577"/>
      <c r="BQ251" s="108"/>
    </row>
    <row r="252" spans="24:69" x14ac:dyDescent="0.25">
      <c r="X252" s="478"/>
      <c r="Y252" s="478"/>
      <c r="BE252" s="577"/>
      <c r="BF252" s="577"/>
      <c r="BQ252" s="108"/>
    </row>
    <row r="253" spans="24:69" x14ac:dyDescent="0.25">
      <c r="X253" s="478"/>
      <c r="Y253" s="478"/>
      <c r="BE253" s="577"/>
      <c r="BF253" s="577"/>
      <c r="BQ253" s="108"/>
    </row>
    <row r="254" spans="24:69" x14ac:dyDescent="0.25">
      <c r="X254" s="478"/>
      <c r="Y254" s="478"/>
      <c r="BE254" s="577"/>
      <c r="BF254" s="577"/>
      <c r="BQ254" s="108"/>
    </row>
    <row r="255" spans="24:69" x14ac:dyDescent="0.25">
      <c r="X255" s="478"/>
      <c r="Y255" s="478"/>
      <c r="BE255" s="577"/>
      <c r="BF255" s="577"/>
      <c r="BQ255" s="108"/>
    </row>
    <row r="256" spans="24:69" x14ac:dyDescent="0.25">
      <c r="X256" s="478"/>
      <c r="Y256" s="478"/>
      <c r="BE256" s="577"/>
      <c r="BF256" s="577"/>
      <c r="BQ256" s="108"/>
    </row>
    <row r="257" spans="24:69" x14ac:dyDescent="0.25">
      <c r="X257" s="478"/>
      <c r="Y257" s="478"/>
      <c r="BE257" s="577"/>
      <c r="BF257" s="577"/>
      <c r="BQ257" s="108"/>
    </row>
    <row r="258" spans="24:69" x14ac:dyDescent="0.25">
      <c r="X258" s="478"/>
      <c r="Y258" s="478"/>
      <c r="BE258" s="577"/>
      <c r="BF258" s="577"/>
      <c r="BQ258" s="108"/>
    </row>
    <row r="259" spans="24:69" x14ac:dyDescent="0.25">
      <c r="X259" s="478"/>
      <c r="Y259" s="478"/>
      <c r="BE259" s="577"/>
      <c r="BF259" s="577"/>
      <c r="BQ259" s="108"/>
    </row>
    <row r="260" spans="24:69" x14ac:dyDescent="0.25">
      <c r="X260" s="478"/>
      <c r="Y260" s="478"/>
      <c r="BE260" s="577"/>
      <c r="BF260" s="577"/>
      <c r="BQ260" s="108"/>
    </row>
    <row r="261" spans="24:69" x14ac:dyDescent="0.25">
      <c r="X261" s="478"/>
      <c r="Y261" s="478"/>
      <c r="BE261" s="577"/>
      <c r="BF261" s="577"/>
      <c r="BQ261" s="108"/>
    </row>
    <row r="262" spans="24:69" x14ac:dyDescent="0.25">
      <c r="X262" s="478"/>
      <c r="Y262" s="478"/>
      <c r="BE262" s="577"/>
      <c r="BF262" s="577"/>
      <c r="BQ262" s="108"/>
    </row>
    <row r="263" spans="24:69" x14ac:dyDescent="0.25">
      <c r="X263" s="478"/>
      <c r="Y263" s="478"/>
      <c r="BE263" s="577"/>
      <c r="BF263" s="577"/>
      <c r="BQ263" s="108"/>
    </row>
    <row r="264" spans="24:69" x14ac:dyDescent="0.25">
      <c r="X264" s="478"/>
      <c r="Y264" s="478"/>
      <c r="BE264" s="577"/>
      <c r="BF264" s="577"/>
      <c r="BQ264" s="108"/>
    </row>
    <row r="265" spans="24:69" x14ac:dyDescent="0.25">
      <c r="X265" s="478"/>
      <c r="Y265" s="478"/>
      <c r="BE265" s="577"/>
      <c r="BF265" s="577"/>
      <c r="BQ265" s="108"/>
    </row>
    <row r="266" spans="24:69" x14ac:dyDescent="0.25">
      <c r="X266" s="478"/>
      <c r="Y266" s="478"/>
      <c r="BE266" s="577"/>
      <c r="BF266" s="577"/>
      <c r="BQ266" s="108"/>
    </row>
    <row r="267" spans="24:69" x14ac:dyDescent="0.25">
      <c r="X267" s="478"/>
      <c r="Y267" s="478"/>
      <c r="BE267" s="577"/>
      <c r="BF267" s="577"/>
      <c r="BQ267" s="108"/>
    </row>
    <row r="268" spans="24:69" x14ac:dyDescent="0.25">
      <c r="X268" s="478"/>
      <c r="Y268" s="478"/>
      <c r="BE268" s="577"/>
      <c r="BF268" s="577"/>
      <c r="BQ268" s="108"/>
    </row>
    <row r="269" spans="24:69" x14ac:dyDescent="0.25">
      <c r="X269" s="478"/>
      <c r="Y269" s="478"/>
      <c r="BE269" s="577"/>
      <c r="BF269" s="577"/>
      <c r="BQ269" s="108"/>
    </row>
    <row r="270" spans="24:69" x14ac:dyDescent="0.25">
      <c r="X270" s="478"/>
      <c r="Y270" s="478"/>
      <c r="BE270" s="577"/>
      <c r="BF270" s="577"/>
      <c r="BQ270" s="108"/>
    </row>
    <row r="271" spans="24:69" x14ac:dyDescent="0.25">
      <c r="X271" s="478"/>
      <c r="Y271" s="478"/>
      <c r="BE271" s="577"/>
      <c r="BF271" s="577"/>
      <c r="BQ271" s="108"/>
    </row>
    <row r="272" spans="24:69" x14ac:dyDescent="0.25">
      <c r="X272" s="478"/>
      <c r="Y272" s="478"/>
      <c r="BE272" s="577"/>
      <c r="BF272" s="577"/>
      <c r="BQ272" s="108"/>
    </row>
    <row r="273" spans="24:69" x14ac:dyDescent="0.25">
      <c r="X273" s="478"/>
      <c r="Y273" s="478"/>
      <c r="BE273" s="577"/>
      <c r="BF273" s="577"/>
      <c r="BQ273" s="108"/>
    </row>
    <row r="274" spans="24:69" x14ac:dyDescent="0.25">
      <c r="X274" s="478"/>
      <c r="Y274" s="478"/>
      <c r="BE274" s="577"/>
      <c r="BF274" s="577"/>
      <c r="BQ274" s="108"/>
    </row>
    <row r="275" spans="24:69" x14ac:dyDescent="0.25">
      <c r="X275" s="478"/>
      <c r="Y275" s="478"/>
      <c r="BE275" s="577"/>
      <c r="BF275" s="577"/>
      <c r="BQ275" s="108"/>
    </row>
    <row r="276" spans="24:69" x14ac:dyDescent="0.25">
      <c r="X276" s="478"/>
      <c r="Y276" s="478"/>
      <c r="BE276" s="577"/>
      <c r="BF276" s="577"/>
      <c r="BQ276" s="108"/>
    </row>
    <row r="277" spans="24:69" x14ac:dyDescent="0.25">
      <c r="X277" s="478"/>
      <c r="Y277" s="478"/>
      <c r="BE277" s="577"/>
      <c r="BF277" s="577"/>
      <c r="BQ277" s="108"/>
    </row>
    <row r="278" spans="24:69" x14ac:dyDescent="0.25">
      <c r="X278" s="478"/>
      <c r="Y278" s="478"/>
      <c r="BE278" s="577"/>
      <c r="BF278" s="577"/>
      <c r="BQ278" s="108"/>
    </row>
    <row r="279" spans="24:69" x14ac:dyDescent="0.25">
      <c r="X279" s="478"/>
      <c r="Y279" s="478"/>
      <c r="BE279" s="577"/>
      <c r="BF279" s="577"/>
      <c r="BQ279" s="108"/>
    </row>
    <row r="280" spans="24:69" x14ac:dyDescent="0.25">
      <c r="X280" s="478"/>
      <c r="Y280" s="478"/>
      <c r="BE280" s="577"/>
      <c r="BF280" s="577"/>
      <c r="BQ280" s="108"/>
    </row>
    <row r="281" spans="24:69" x14ac:dyDescent="0.25">
      <c r="X281" s="478"/>
      <c r="Y281" s="478"/>
      <c r="BE281" s="577"/>
      <c r="BF281" s="577"/>
      <c r="BQ281" s="108"/>
    </row>
    <row r="282" spans="24:69" x14ac:dyDescent="0.25">
      <c r="X282" s="478"/>
      <c r="Y282" s="478"/>
      <c r="BE282" s="577"/>
      <c r="BF282" s="577"/>
      <c r="BQ282" s="108"/>
    </row>
    <row r="283" spans="24:69" x14ac:dyDescent="0.25">
      <c r="X283" s="478"/>
      <c r="Y283" s="478"/>
      <c r="BE283" s="577"/>
      <c r="BF283" s="577"/>
      <c r="BQ283" s="108"/>
    </row>
    <row r="284" spans="24:69" x14ac:dyDescent="0.25">
      <c r="X284" s="478"/>
      <c r="Y284" s="478"/>
      <c r="BE284" s="577"/>
      <c r="BF284" s="577"/>
      <c r="BQ284" s="108"/>
    </row>
    <row r="285" spans="24:69" x14ac:dyDescent="0.25">
      <c r="X285" s="478"/>
      <c r="Y285" s="478"/>
      <c r="BE285" s="577"/>
      <c r="BF285" s="577"/>
      <c r="BQ285" s="108"/>
    </row>
    <row r="286" spans="24:69" x14ac:dyDescent="0.25">
      <c r="X286" s="478"/>
      <c r="Y286" s="478"/>
      <c r="BE286" s="577"/>
      <c r="BF286" s="577"/>
      <c r="BQ286" s="108"/>
    </row>
    <row r="287" spans="24:69" x14ac:dyDescent="0.25">
      <c r="X287" s="478"/>
      <c r="Y287" s="478"/>
      <c r="BE287" s="577"/>
      <c r="BF287" s="577"/>
    </row>
    <row r="288" spans="24:69" x14ac:dyDescent="0.25">
      <c r="X288" s="478"/>
      <c r="Y288" s="478"/>
      <c r="BE288" s="577"/>
      <c r="BF288" s="577"/>
    </row>
    <row r="289" spans="24:58" x14ac:dyDescent="0.25">
      <c r="X289" s="478"/>
      <c r="Y289" s="478"/>
      <c r="BE289" s="577"/>
      <c r="BF289" s="577"/>
    </row>
    <row r="290" spans="24:58" x14ac:dyDescent="0.25">
      <c r="X290" s="478"/>
      <c r="Y290" s="478"/>
      <c r="BE290" s="577"/>
      <c r="BF290" s="577"/>
    </row>
    <row r="291" spans="24:58" x14ac:dyDescent="0.25">
      <c r="X291" s="478"/>
      <c r="Y291" s="478"/>
      <c r="BE291" s="577"/>
      <c r="BF291" s="577"/>
    </row>
    <row r="292" spans="24:58" x14ac:dyDescent="0.25">
      <c r="X292" s="478"/>
      <c r="Y292" s="478"/>
      <c r="BE292" s="577"/>
      <c r="BF292" s="577"/>
    </row>
    <row r="293" spans="24:58" x14ac:dyDescent="0.25">
      <c r="X293" s="478"/>
      <c r="Y293" s="478"/>
      <c r="BE293" s="577"/>
      <c r="BF293" s="577"/>
    </row>
    <row r="294" spans="24:58" x14ac:dyDescent="0.25">
      <c r="X294" s="478"/>
      <c r="Y294" s="478"/>
      <c r="BE294" s="577"/>
      <c r="BF294" s="577"/>
    </row>
    <row r="295" spans="24:58" x14ac:dyDescent="0.25">
      <c r="X295" s="478"/>
      <c r="Y295" s="478"/>
      <c r="BE295" s="577"/>
      <c r="BF295" s="577"/>
    </row>
    <row r="296" spans="24:58" x14ac:dyDescent="0.25">
      <c r="X296" s="478"/>
      <c r="Y296" s="478"/>
      <c r="BE296" s="577"/>
      <c r="BF296" s="577"/>
    </row>
    <row r="297" spans="24:58" x14ac:dyDescent="0.25">
      <c r="X297" s="478"/>
      <c r="Y297" s="478"/>
      <c r="BE297" s="577"/>
      <c r="BF297" s="577"/>
    </row>
    <row r="298" spans="24:58" x14ac:dyDescent="0.25">
      <c r="X298" s="478"/>
      <c r="Y298" s="478"/>
      <c r="BE298" s="577"/>
      <c r="BF298" s="577"/>
    </row>
    <row r="299" spans="24:58" x14ac:dyDescent="0.25">
      <c r="X299" s="478"/>
      <c r="Y299" s="478"/>
      <c r="BE299" s="577"/>
      <c r="BF299" s="577"/>
    </row>
    <row r="300" spans="24:58" x14ac:dyDescent="0.25">
      <c r="X300" s="478"/>
      <c r="Y300" s="478"/>
      <c r="BE300" s="577"/>
      <c r="BF300" s="577"/>
    </row>
    <row r="301" spans="24:58" x14ac:dyDescent="0.25">
      <c r="X301" s="478"/>
      <c r="Y301" s="478"/>
      <c r="BE301" s="577"/>
      <c r="BF301" s="577"/>
    </row>
    <row r="302" spans="24:58" x14ac:dyDescent="0.25">
      <c r="X302" s="478"/>
      <c r="Y302" s="478"/>
      <c r="BE302" s="577"/>
      <c r="BF302" s="577"/>
    </row>
    <row r="303" spans="24:58" x14ac:dyDescent="0.25">
      <c r="X303" s="478"/>
      <c r="Y303" s="478"/>
      <c r="BE303" s="577"/>
      <c r="BF303" s="577"/>
    </row>
    <row r="304" spans="24:58" x14ac:dyDescent="0.25">
      <c r="X304" s="478"/>
      <c r="Y304" s="478"/>
      <c r="BE304" s="577"/>
      <c r="BF304" s="577"/>
    </row>
    <row r="305" spans="24:58" x14ac:dyDescent="0.25">
      <c r="X305" s="478"/>
      <c r="Y305" s="478"/>
      <c r="BE305" s="577"/>
      <c r="BF305" s="577"/>
    </row>
    <row r="306" spans="24:58" x14ac:dyDescent="0.25">
      <c r="X306" s="478"/>
      <c r="Y306" s="478"/>
      <c r="BE306" s="577"/>
      <c r="BF306" s="577"/>
    </row>
    <row r="307" spans="24:58" x14ac:dyDescent="0.25">
      <c r="X307" s="478"/>
      <c r="Y307" s="478"/>
      <c r="BE307" s="577"/>
      <c r="BF307" s="577"/>
    </row>
    <row r="308" spans="24:58" x14ac:dyDescent="0.25">
      <c r="X308" s="478"/>
      <c r="Y308" s="478"/>
      <c r="BE308" s="577"/>
      <c r="BF308" s="577"/>
    </row>
    <row r="309" spans="24:58" x14ac:dyDescent="0.25">
      <c r="X309" s="478"/>
      <c r="Y309" s="478"/>
      <c r="BE309" s="577"/>
      <c r="BF309" s="577"/>
    </row>
    <row r="310" spans="24:58" x14ac:dyDescent="0.25">
      <c r="X310" s="478"/>
      <c r="Y310" s="478"/>
      <c r="BE310" s="577"/>
      <c r="BF310" s="577"/>
    </row>
    <row r="311" spans="24:58" x14ac:dyDescent="0.25">
      <c r="X311" s="478"/>
      <c r="Y311" s="478"/>
      <c r="BE311" s="577"/>
      <c r="BF311" s="577"/>
    </row>
    <row r="312" spans="24:58" x14ac:dyDescent="0.25">
      <c r="X312" s="478"/>
      <c r="Y312" s="478"/>
      <c r="BE312" s="577"/>
      <c r="BF312" s="577"/>
    </row>
    <row r="313" spans="24:58" x14ac:dyDescent="0.25">
      <c r="X313" s="478"/>
      <c r="Y313" s="478"/>
      <c r="BE313" s="577"/>
      <c r="BF313" s="577"/>
    </row>
    <row r="314" spans="24:58" x14ac:dyDescent="0.25">
      <c r="X314" s="478"/>
      <c r="Y314" s="478"/>
      <c r="BE314" s="577"/>
      <c r="BF314" s="577"/>
    </row>
    <row r="315" spans="24:58" x14ac:dyDescent="0.25">
      <c r="X315" s="478"/>
      <c r="Y315" s="478"/>
      <c r="BE315" s="577"/>
      <c r="BF315" s="577"/>
    </row>
    <row r="316" spans="24:58" x14ac:dyDescent="0.25">
      <c r="X316" s="478"/>
      <c r="Y316" s="478"/>
      <c r="BE316" s="577"/>
      <c r="BF316" s="577"/>
    </row>
    <row r="317" spans="24:58" x14ac:dyDescent="0.25">
      <c r="X317" s="478"/>
      <c r="Y317" s="478"/>
      <c r="BE317" s="577"/>
      <c r="BF317" s="577"/>
    </row>
    <row r="318" spans="24:58" x14ac:dyDescent="0.25">
      <c r="X318" s="478"/>
      <c r="Y318" s="478"/>
      <c r="BE318" s="577"/>
      <c r="BF318" s="577"/>
    </row>
    <row r="319" spans="24:58" x14ac:dyDescent="0.25">
      <c r="X319" s="478"/>
      <c r="Y319" s="478"/>
      <c r="BE319" s="577"/>
      <c r="BF319" s="577"/>
    </row>
    <row r="320" spans="24:58" x14ac:dyDescent="0.25">
      <c r="X320" s="478"/>
      <c r="Y320" s="478"/>
      <c r="BE320" s="577"/>
      <c r="BF320" s="577"/>
    </row>
    <row r="321" spans="24:58" x14ac:dyDescent="0.25">
      <c r="X321" s="478"/>
      <c r="Y321" s="478"/>
      <c r="BE321" s="577"/>
      <c r="BF321" s="577"/>
    </row>
    <row r="322" spans="24:58" x14ac:dyDescent="0.25">
      <c r="X322" s="478"/>
      <c r="Y322" s="478"/>
      <c r="BE322" s="577"/>
      <c r="BF322" s="577"/>
    </row>
    <row r="323" spans="24:58" x14ac:dyDescent="0.25">
      <c r="X323" s="478"/>
      <c r="Y323" s="478"/>
      <c r="BE323" s="577"/>
      <c r="BF323" s="577"/>
    </row>
    <row r="324" spans="24:58" x14ac:dyDescent="0.25">
      <c r="X324" s="478"/>
      <c r="Y324" s="478"/>
      <c r="BE324" s="577"/>
      <c r="BF324" s="577"/>
    </row>
    <row r="325" spans="24:58" x14ac:dyDescent="0.25">
      <c r="X325" s="478"/>
      <c r="Y325" s="478"/>
      <c r="BE325" s="577"/>
      <c r="BF325" s="577"/>
    </row>
    <row r="326" spans="24:58" x14ac:dyDescent="0.25">
      <c r="X326" s="478"/>
      <c r="Y326" s="478"/>
      <c r="BE326" s="577"/>
      <c r="BF326" s="577"/>
    </row>
    <row r="327" spans="24:58" x14ac:dyDescent="0.25">
      <c r="X327" s="478"/>
      <c r="Y327" s="478"/>
      <c r="BE327" s="577"/>
      <c r="BF327" s="577"/>
    </row>
    <row r="328" spans="24:58" x14ac:dyDescent="0.25">
      <c r="X328" s="478"/>
      <c r="Y328" s="478"/>
      <c r="BE328" s="577"/>
      <c r="BF328" s="577"/>
    </row>
    <row r="329" spans="24:58" x14ac:dyDescent="0.25">
      <c r="X329" s="478"/>
      <c r="Y329" s="478"/>
      <c r="BE329" s="577"/>
      <c r="BF329" s="577"/>
    </row>
    <row r="330" spans="24:58" x14ac:dyDescent="0.25">
      <c r="X330" s="478"/>
      <c r="Y330" s="478"/>
      <c r="BE330" s="577"/>
      <c r="BF330" s="577"/>
    </row>
    <row r="331" spans="24:58" x14ac:dyDescent="0.25">
      <c r="X331" s="478"/>
      <c r="Y331" s="478"/>
      <c r="BE331" s="577"/>
      <c r="BF331" s="577"/>
    </row>
    <row r="332" spans="24:58" x14ac:dyDescent="0.25">
      <c r="X332" s="478"/>
      <c r="Y332" s="478"/>
      <c r="BE332" s="577"/>
      <c r="BF332" s="577"/>
    </row>
    <row r="333" spans="24:58" x14ac:dyDescent="0.25">
      <c r="X333" s="478"/>
      <c r="Y333" s="478"/>
      <c r="BE333" s="577"/>
      <c r="BF333" s="577"/>
    </row>
    <row r="334" spans="24:58" x14ac:dyDescent="0.25">
      <c r="X334" s="478"/>
      <c r="Y334" s="478"/>
      <c r="BE334" s="577"/>
    </row>
    <row r="335" spans="24:58" x14ac:dyDescent="0.25">
      <c r="X335" s="478"/>
      <c r="Y335" s="478"/>
      <c r="BE335" s="577"/>
    </row>
    <row r="336" spans="24:58" x14ac:dyDescent="0.25">
      <c r="X336" s="478"/>
      <c r="Y336" s="478"/>
      <c r="BE336" s="577"/>
    </row>
    <row r="337" spans="24:25" x14ac:dyDescent="0.25">
      <c r="X337" s="478"/>
      <c r="Y337" s="478"/>
    </row>
    <row r="338" spans="24:25" x14ac:dyDescent="0.25">
      <c r="X338" s="478"/>
      <c r="Y338" s="478"/>
    </row>
    <row r="339" spans="24:25" x14ac:dyDescent="0.25">
      <c r="X339" s="478"/>
      <c r="Y339" s="478"/>
    </row>
    <row r="340" spans="24:25" x14ac:dyDescent="0.25">
      <c r="X340" s="478"/>
      <c r="Y340" s="478"/>
    </row>
    <row r="341" spans="24:25" x14ac:dyDescent="0.25">
      <c r="X341" s="478"/>
      <c r="Y341" s="478"/>
    </row>
    <row r="342" spans="24:25" x14ac:dyDescent="0.25">
      <c r="X342" s="478"/>
      <c r="Y342" s="478"/>
    </row>
    <row r="343" spans="24:25" x14ac:dyDescent="0.25">
      <c r="X343" s="478"/>
      <c r="Y343" s="478"/>
    </row>
    <row r="344" spans="24:25" x14ac:dyDescent="0.25">
      <c r="X344" s="478"/>
      <c r="Y344" s="478"/>
    </row>
    <row r="345" spans="24:25" x14ac:dyDescent="0.25">
      <c r="X345" s="478"/>
      <c r="Y345" s="478"/>
    </row>
    <row r="346" spans="24:25" x14ac:dyDescent="0.25">
      <c r="X346" s="478"/>
      <c r="Y346" s="478"/>
    </row>
    <row r="347" spans="24:25" x14ac:dyDescent="0.25">
      <c r="X347" s="478"/>
      <c r="Y347" s="478"/>
    </row>
    <row r="348" spans="24:25" x14ac:dyDescent="0.25">
      <c r="X348" s="478"/>
      <c r="Y348" s="478"/>
    </row>
    <row r="349" spans="24:25" x14ac:dyDescent="0.25">
      <c r="X349" s="478"/>
      <c r="Y349" s="478"/>
    </row>
    <row r="350" spans="24:25" x14ac:dyDescent="0.25">
      <c r="X350" s="478"/>
      <c r="Y350" s="478"/>
    </row>
    <row r="351" spans="24:25" x14ac:dyDescent="0.25">
      <c r="X351" s="478"/>
      <c r="Y351" s="478"/>
    </row>
    <row r="352" spans="24:25" x14ac:dyDescent="0.25">
      <c r="X352" s="478"/>
      <c r="Y352" s="478"/>
    </row>
    <row r="353" spans="24:25" x14ac:dyDescent="0.25">
      <c r="X353" s="478"/>
      <c r="Y353" s="478"/>
    </row>
    <row r="354" spans="24:25" x14ac:dyDescent="0.25">
      <c r="X354" s="478"/>
      <c r="Y354" s="478"/>
    </row>
    <row r="355" spans="24:25" x14ac:dyDescent="0.25">
      <c r="X355" s="478"/>
      <c r="Y355" s="478"/>
    </row>
    <row r="356" spans="24:25" x14ac:dyDescent="0.25">
      <c r="X356" s="478"/>
      <c r="Y356" s="478"/>
    </row>
    <row r="357" spans="24:25" x14ac:dyDescent="0.25">
      <c r="X357" s="478"/>
      <c r="Y357" s="478"/>
    </row>
    <row r="358" spans="24:25" x14ac:dyDescent="0.25">
      <c r="X358" s="478"/>
      <c r="Y358" s="478"/>
    </row>
    <row r="359" spans="24:25" x14ac:dyDescent="0.25">
      <c r="X359" s="478"/>
      <c r="Y359" s="478"/>
    </row>
    <row r="360" spans="24:25" x14ac:dyDescent="0.25">
      <c r="X360" s="478"/>
      <c r="Y360" s="478"/>
    </row>
    <row r="361" spans="24:25" x14ac:dyDescent="0.25">
      <c r="X361" s="478"/>
      <c r="Y361" s="478"/>
    </row>
    <row r="362" spans="24:25" x14ac:dyDescent="0.25">
      <c r="X362" s="478"/>
      <c r="Y362" s="478"/>
    </row>
    <row r="363" spans="24:25" x14ac:dyDescent="0.25">
      <c r="X363" s="478"/>
      <c r="Y363" s="478"/>
    </row>
    <row r="364" spans="24:25" x14ac:dyDescent="0.25">
      <c r="X364" s="478"/>
      <c r="Y364" s="478"/>
    </row>
    <row r="365" spans="24:25" x14ac:dyDescent="0.25">
      <c r="X365" s="478"/>
      <c r="Y365" s="478"/>
    </row>
    <row r="366" spans="24:25" x14ac:dyDescent="0.25">
      <c r="X366" s="478"/>
      <c r="Y366" s="478"/>
    </row>
    <row r="367" spans="24:25" x14ac:dyDescent="0.25">
      <c r="X367" s="478"/>
      <c r="Y367" s="478"/>
    </row>
    <row r="368" spans="24:25" x14ac:dyDescent="0.25">
      <c r="X368" s="478"/>
      <c r="Y368" s="478"/>
    </row>
    <row r="369" spans="24:25" x14ac:dyDescent="0.25">
      <c r="X369" s="478"/>
      <c r="Y369" s="478"/>
    </row>
    <row r="370" spans="24:25" x14ac:dyDescent="0.25">
      <c r="X370" s="478"/>
      <c r="Y370" s="478"/>
    </row>
    <row r="371" spans="24:25" x14ac:dyDescent="0.25">
      <c r="X371" s="478"/>
      <c r="Y371" s="478"/>
    </row>
    <row r="372" spans="24:25" x14ac:dyDescent="0.25">
      <c r="X372" s="478"/>
      <c r="Y372" s="478"/>
    </row>
    <row r="373" spans="24:25" x14ac:dyDescent="0.25">
      <c r="X373" s="478"/>
      <c r="Y373" s="478"/>
    </row>
    <row r="374" spans="24:25" x14ac:dyDescent="0.25">
      <c r="X374" s="478"/>
      <c r="Y374" s="478"/>
    </row>
    <row r="375" spans="24:25" x14ac:dyDescent="0.25">
      <c r="X375" s="478"/>
      <c r="Y375" s="478"/>
    </row>
    <row r="376" spans="24:25" x14ac:dyDescent="0.25">
      <c r="X376" s="478"/>
      <c r="Y376" s="478"/>
    </row>
    <row r="377" spans="24:25" x14ac:dyDescent="0.25">
      <c r="X377" s="478"/>
      <c r="Y377" s="478"/>
    </row>
    <row r="378" spans="24:25" x14ac:dyDescent="0.25">
      <c r="X378" s="478"/>
      <c r="Y378" s="478"/>
    </row>
    <row r="379" spans="24:25" x14ac:dyDescent="0.25">
      <c r="X379" s="478"/>
      <c r="Y379" s="478"/>
    </row>
    <row r="380" spans="24:25" x14ac:dyDescent="0.25">
      <c r="X380" s="478"/>
      <c r="Y380" s="478"/>
    </row>
    <row r="381" spans="24:25" x14ac:dyDescent="0.25">
      <c r="X381" s="478"/>
      <c r="Y381" s="478"/>
    </row>
    <row r="382" spans="24:25" x14ac:dyDescent="0.25">
      <c r="X382" s="478"/>
      <c r="Y382" s="478"/>
    </row>
    <row r="383" spans="24:25" x14ac:dyDescent="0.25">
      <c r="X383" s="478"/>
      <c r="Y383" s="478"/>
    </row>
    <row r="384" spans="24:25" x14ac:dyDescent="0.25">
      <c r="X384" s="478"/>
      <c r="Y384" s="478"/>
    </row>
    <row r="385" spans="24:25" x14ac:dyDescent="0.25">
      <c r="X385" s="478"/>
      <c r="Y385" s="478"/>
    </row>
    <row r="386" spans="24:25" x14ac:dyDescent="0.25">
      <c r="X386" s="478"/>
      <c r="Y386" s="478"/>
    </row>
    <row r="387" spans="24:25" x14ac:dyDescent="0.25">
      <c r="X387" s="478"/>
      <c r="Y387" s="478"/>
    </row>
    <row r="388" spans="24:25" x14ac:dyDescent="0.25">
      <c r="X388" s="478"/>
      <c r="Y388" s="478"/>
    </row>
    <row r="389" spans="24:25" x14ac:dyDescent="0.25">
      <c r="X389" s="478"/>
      <c r="Y389" s="478"/>
    </row>
    <row r="390" spans="24:25" x14ac:dyDescent="0.25">
      <c r="X390" s="478"/>
      <c r="Y390" s="478"/>
    </row>
    <row r="391" spans="24:25" x14ac:dyDescent="0.25">
      <c r="X391" s="478"/>
      <c r="Y391" s="478"/>
    </row>
    <row r="392" spans="24:25" x14ac:dyDescent="0.25">
      <c r="X392" s="478"/>
      <c r="Y392" s="478"/>
    </row>
    <row r="393" spans="24:25" x14ac:dyDescent="0.25">
      <c r="X393" s="478"/>
      <c r="Y393" s="478"/>
    </row>
    <row r="394" spans="24:25" x14ac:dyDescent="0.25">
      <c r="X394" s="478"/>
      <c r="Y394" s="478"/>
    </row>
    <row r="395" spans="24:25" x14ac:dyDescent="0.25">
      <c r="X395" s="478"/>
      <c r="Y395" s="478"/>
    </row>
    <row r="396" spans="24:25" x14ac:dyDescent="0.25">
      <c r="X396" s="478"/>
      <c r="Y396" s="478"/>
    </row>
    <row r="397" spans="24:25" x14ac:dyDescent="0.25">
      <c r="X397" s="478"/>
      <c r="Y397" s="478"/>
    </row>
    <row r="398" spans="24:25" x14ac:dyDescent="0.25">
      <c r="X398" s="478"/>
      <c r="Y398" s="478"/>
    </row>
    <row r="399" spans="24:25" x14ac:dyDescent="0.25">
      <c r="X399" s="478"/>
      <c r="Y399" s="478"/>
    </row>
    <row r="400" spans="24:25" x14ac:dyDescent="0.25">
      <c r="X400" s="478"/>
      <c r="Y400" s="478"/>
    </row>
    <row r="401" spans="24:25" x14ac:dyDescent="0.25">
      <c r="X401" s="478"/>
      <c r="Y401" s="478"/>
    </row>
    <row r="402" spans="24:25" x14ac:dyDescent="0.25">
      <c r="X402" s="478"/>
      <c r="Y402" s="478"/>
    </row>
    <row r="403" spans="24:25" x14ac:dyDescent="0.25">
      <c r="X403" s="478"/>
      <c r="Y403" s="478"/>
    </row>
    <row r="404" spans="24:25" x14ac:dyDescent="0.25">
      <c r="X404" s="478"/>
      <c r="Y404" s="478"/>
    </row>
    <row r="405" spans="24:25" x14ac:dyDescent="0.25">
      <c r="X405" s="478"/>
      <c r="Y405" s="478"/>
    </row>
    <row r="406" spans="24:25" x14ac:dyDescent="0.25">
      <c r="X406" s="478"/>
      <c r="Y406" s="478"/>
    </row>
    <row r="407" spans="24:25" x14ac:dyDescent="0.25">
      <c r="X407" s="478"/>
      <c r="Y407" s="478"/>
    </row>
    <row r="408" spans="24:25" x14ac:dyDescent="0.25">
      <c r="X408" s="478"/>
      <c r="Y408" s="478"/>
    </row>
    <row r="409" spans="24:25" x14ac:dyDescent="0.25">
      <c r="X409" s="478"/>
      <c r="Y409" s="478"/>
    </row>
    <row r="410" spans="24:25" x14ac:dyDescent="0.25">
      <c r="X410" s="478"/>
      <c r="Y410" s="478"/>
    </row>
    <row r="411" spans="24:25" x14ac:dyDescent="0.25">
      <c r="X411" s="478"/>
      <c r="Y411" s="478"/>
    </row>
    <row r="412" spans="24:25" x14ac:dyDescent="0.25">
      <c r="X412" s="478"/>
      <c r="Y412" s="478"/>
    </row>
    <row r="413" spans="24:25" x14ac:dyDescent="0.25">
      <c r="X413" s="478"/>
      <c r="Y413" s="478"/>
    </row>
    <row r="414" spans="24:25" x14ac:dyDescent="0.25">
      <c r="X414" s="478"/>
      <c r="Y414" s="478"/>
    </row>
    <row r="415" spans="24:25" x14ac:dyDescent="0.25">
      <c r="X415" s="478"/>
      <c r="Y415" s="478"/>
    </row>
    <row r="416" spans="24:25" x14ac:dyDescent="0.25">
      <c r="X416" s="478"/>
      <c r="Y416" s="478"/>
    </row>
    <row r="417" spans="24:25" x14ac:dyDescent="0.25">
      <c r="X417" s="478"/>
      <c r="Y417" s="478"/>
    </row>
    <row r="418" spans="24:25" x14ac:dyDescent="0.25">
      <c r="X418" s="478"/>
      <c r="Y418" s="478"/>
    </row>
    <row r="419" spans="24:25" x14ac:dyDescent="0.25">
      <c r="X419" s="478"/>
      <c r="Y419" s="478"/>
    </row>
    <row r="420" spans="24:25" x14ac:dyDescent="0.25">
      <c r="X420" s="478"/>
      <c r="Y420" s="478"/>
    </row>
    <row r="421" spans="24:25" x14ac:dyDescent="0.25">
      <c r="X421" s="478"/>
      <c r="Y421" s="478"/>
    </row>
    <row r="422" spans="24:25" x14ac:dyDescent="0.25">
      <c r="X422" s="478"/>
      <c r="Y422" s="478"/>
    </row>
    <row r="423" spans="24:25" x14ac:dyDescent="0.25">
      <c r="X423" s="478"/>
      <c r="Y423" s="478"/>
    </row>
    <row r="424" spans="24:25" x14ac:dyDescent="0.25">
      <c r="X424" s="478"/>
      <c r="Y424" s="478"/>
    </row>
    <row r="425" spans="24:25" x14ac:dyDescent="0.25">
      <c r="X425" s="478"/>
      <c r="Y425" s="478"/>
    </row>
    <row r="426" spans="24:25" x14ac:dyDescent="0.25">
      <c r="X426" s="478"/>
      <c r="Y426" s="478"/>
    </row>
    <row r="427" spans="24:25" x14ac:dyDescent="0.25">
      <c r="X427" s="478"/>
      <c r="Y427" s="478"/>
    </row>
    <row r="428" spans="24:25" x14ac:dyDescent="0.25">
      <c r="X428" s="478"/>
      <c r="Y428" s="478"/>
    </row>
    <row r="429" spans="24:25" x14ac:dyDescent="0.25">
      <c r="X429" s="478"/>
      <c r="Y429" s="478"/>
    </row>
    <row r="430" spans="24:25" x14ac:dyDescent="0.25">
      <c r="X430" s="478"/>
      <c r="Y430" s="478"/>
    </row>
    <row r="431" spans="24:25" x14ac:dyDescent="0.25">
      <c r="X431" s="478"/>
      <c r="Y431" s="478"/>
    </row>
    <row r="432" spans="24:25" x14ac:dyDescent="0.25">
      <c r="X432" s="478"/>
      <c r="Y432" s="478"/>
    </row>
    <row r="433" spans="24:25" x14ac:dyDescent="0.25">
      <c r="X433" s="478"/>
      <c r="Y433" s="478"/>
    </row>
    <row r="434" spans="24:25" x14ac:dyDescent="0.25">
      <c r="X434" s="478"/>
      <c r="Y434" s="478"/>
    </row>
    <row r="435" spans="24:25" x14ac:dyDescent="0.25">
      <c r="X435" s="478"/>
      <c r="Y435" s="478"/>
    </row>
    <row r="436" spans="24:25" x14ac:dyDescent="0.25">
      <c r="X436" s="478"/>
      <c r="Y436" s="478"/>
    </row>
    <row r="437" spans="24:25" x14ac:dyDescent="0.25">
      <c r="X437" s="478"/>
      <c r="Y437" s="478"/>
    </row>
    <row r="438" spans="24:25" x14ac:dyDescent="0.25">
      <c r="X438" s="478"/>
      <c r="Y438" s="478"/>
    </row>
    <row r="439" spans="24:25" x14ac:dyDescent="0.25">
      <c r="X439" s="478"/>
      <c r="Y439" s="478"/>
    </row>
    <row r="440" spans="24:25" x14ac:dyDescent="0.25">
      <c r="X440" s="478"/>
      <c r="Y440" s="478"/>
    </row>
    <row r="441" spans="24:25" x14ac:dyDescent="0.25">
      <c r="X441" s="478"/>
      <c r="Y441" s="478"/>
    </row>
    <row r="442" spans="24:25" x14ac:dyDescent="0.25">
      <c r="X442" s="478"/>
      <c r="Y442" s="478"/>
    </row>
    <row r="443" spans="24:25" x14ac:dyDescent="0.25">
      <c r="X443" s="478"/>
      <c r="Y443" s="478"/>
    </row>
    <row r="444" spans="24:25" x14ac:dyDescent="0.25">
      <c r="X444" s="478"/>
      <c r="Y444" s="478"/>
    </row>
    <row r="445" spans="24:25" x14ac:dyDescent="0.25">
      <c r="X445" s="478"/>
      <c r="Y445" s="478"/>
    </row>
    <row r="446" spans="24:25" x14ac:dyDescent="0.25">
      <c r="X446" s="478"/>
      <c r="Y446" s="478"/>
    </row>
    <row r="447" spans="24:25" x14ac:dyDescent="0.25">
      <c r="X447" s="478"/>
      <c r="Y447" s="478"/>
    </row>
    <row r="448" spans="24:25" x14ac:dyDescent="0.25">
      <c r="X448" s="478"/>
      <c r="Y448" s="478"/>
    </row>
    <row r="449" spans="24:25" x14ac:dyDescent="0.25">
      <c r="X449" s="478"/>
      <c r="Y449" s="478"/>
    </row>
    <row r="450" spans="24:25" x14ac:dyDescent="0.25">
      <c r="X450" s="478"/>
      <c r="Y450" s="478"/>
    </row>
    <row r="451" spans="24:25" x14ac:dyDescent="0.25">
      <c r="X451" s="478"/>
      <c r="Y451" s="478"/>
    </row>
    <row r="452" spans="24:25" x14ac:dyDescent="0.25">
      <c r="X452" s="478"/>
      <c r="Y452" s="478"/>
    </row>
    <row r="453" spans="24:25" x14ac:dyDescent="0.25">
      <c r="X453" s="478"/>
      <c r="Y453" s="478"/>
    </row>
    <row r="454" spans="24:25" x14ac:dyDescent="0.25">
      <c r="X454" s="478"/>
      <c r="Y454" s="478"/>
    </row>
    <row r="455" spans="24:25" x14ac:dyDescent="0.25">
      <c r="X455" s="478"/>
      <c r="Y455" s="478"/>
    </row>
    <row r="456" spans="24:25" x14ac:dyDescent="0.25">
      <c r="X456" s="478"/>
      <c r="Y456" s="478"/>
    </row>
    <row r="457" spans="24:25" x14ac:dyDescent="0.25">
      <c r="X457" s="478"/>
      <c r="Y457" s="478"/>
    </row>
    <row r="458" spans="24:25" x14ac:dyDescent="0.25">
      <c r="X458" s="478"/>
      <c r="Y458" s="478"/>
    </row>
    <row r="459" spans="24:25" x14ac:dyDescent="0.25">
      <c r="X459" s="478"/>
      <c r="Y459" s="478"/>
    </row>
    <row r="460" spans="24:25" x14ac:dyDescent="0.25">
      <c r="X460" s="478"/>
      <c r="Y460" s="478"/>
    </row>
    <row r="461" spans="24:25" x14ac:dyDescent="0.25">
      <c r="X461" s="478"/>
      <c r="Y461" s="478"/>
    </row>
    <row r="462" spans="24:25" x14ac:dyDescent="0.25">
      <c r="X462" s="478"/>
      <c r="Y462" s="478"/>
    </row>
    <row r="463" spans="24:25" x14ac:dyDescent="0.25">
      <c r="X463" s="478"/>
      <c r="Y463" s="478"/>
    </row>
    <row r="464" spans="24:25" x14ac:dyDescent="0.25">
      <c r="X464" s="478"/>
      <c r="Y464" s="478"/>
    </row>
    <row r="465" spans="24:25" x14ac:dyDescent="0.25">
      <c r="X465" s="478"/>
      <c r="Y465" s="478"/>
    </row>
    <row r="466" spans="24:25" x14ac:dyDescent="0.25">
      <c r="X466" s="478"/>
      <c r="Y466" s="478"/>
    </row>
    <row r="467" spans="24:25" x14ac:dyDescent="0.25">
      <c r="X467" s="478"/>
      <c r="Y467" s="478"/>
    </row>
    <row r="468" spans="24:25" x14ac:dyDescent="0.25">
      <c r="X468" s="478"/>
      <c r="Y468" s="478"/>
    </row>
    <row r="469" spans="24:25" x14ac:dyDescent="0.25">
      <c r="X469" s="478"/>
      <c r="Y469" s="478"/>
    </row>
    <row r="470" spans="24:25" x14ac:dyDescent="0.25">
      <c r="X470" s="478"/>
      <c r="Y470" s="478"/>
    </row>
    <row r="471" spans="24:25" x14ac:dyDescent="0.25">
      <c r="X471" s="478"/>
      <c r="Y471" s="478"/>
    </row>
    <row r="472" spans="24:25" x14ac:dyDescent="0.25">
      <c r="X472" s="478"/>
      <c r="Y472" s="478"/>
    </row>
    <row r="473" spans="24:25" x14ac:dyDescent="0.25">
      <c r="X473" s="478"/>
      <c r="Y473" s="478"/>
    </row>
    <row r="474" spans="24:25" x14ac:dyDescent="0.25">
      <c r="X474" s="478"/>
      <c r="Y474" s="478"/>
    </row>
    <row r="475" spans="24:25" x14ac:dyDescent="0.25">
      <c r="X475" s="478"/>
      <c r="Y475" s="478"/>
    </row>
    <row r="476" spans="24:25" x14ac:dyDescent="0.25">
      <c r="X476" s="478"/>
      <c r="Y476" s="478"/>
    </row>
    <row r="477" spans="24:25" x14ac:dyDescent="0.25">
      <c r="X477" s="478"/>
      <c r="Y477" s="478"/>
    </row>
    <row r="478" spans="24:25" x14ac:dyDescent="0.25">
      <c r="X478" s="478"/>
      <c r="Y478" s="478"/>
    </row>
    <row r="479" spans="24:25" x14ac:dyDescent="0.25">
      <c r="X479" s="478"/>
      <c r="Y479" s="478"/>
    </row>
    <row r="480" spans="24:25" x14ac:dyDescent="0.25">
      <c r="X480" s="478"/>
      <c r="Y480" s="478"/>
    </row>
    <row r="481" spans="24:25" x14ac:dyDescent="0.25">
      <c r="X481" s="478"/>
      <c r="Y481" s="478"/>
    </row>
    <row r="482" spans="24:25" x14ac:dyDescent="0.25">
      <c r="X482" s="478"/>
      <c r="Y482" s="478"/>
    </row>
    <row r="483" spans="24:25" x14ac:dyDescent="0.25">
      <c r="X483" s="478"/>
      <c r="Y483" s="478"/>
    </row>
    <row r="484" spans="24:25" x14ac:dyDescent="0.25">
      <c r="X484" s="478"/>
      <c r="Y484" s="478"/>
    </row>
    <row r="485" spans="24:25" x14ac:dyDescent="0.25">
      <c r="X485" s="478"/>
      <c r="Y485" s="478"/>
    </row>
    <row r="486" spans="24:25" x14ac:dyDescent="0.25">
      <c r="X486" s="478"/>
      <c r="Y486" s="478"/>
    </row>
    <row r="487" spans="24:25" x14ac:dyDescent="0.25">
      <c r="X487" s="478"/>
      <c r="Y487" s="478"/>
    </row>
    <row r="488" spans="24:25" x14ac:dyDescent="0.25">
      <c r="X488" s="478"/>
      <c r="Y488" s="478"/>
    </row>
    <row r="489" spans="24:25" x14ac:dyDescent="0.25">
      <c r="X489" s="478"/>
      <c r="Y489" s="478"/>
    </row>
    <row r="490" spans="24:25" x14ac:dyDescent="0.25">
      <c r="X490" s="478"/>
      <c r="Y490" s="478"/>
    </row>
    <row r="491" spans="24:25" x14ac:dyDescent="0.25">
      <c r="X491" s="478"/>
      <c r="Y491" s="478"/>
    </row>
    <row r="492" spans="24:25" x14ac:dyDescent="0.25">
      <c r="X492" s="478"/>
      <c r="Y492" s="478"/>
    </row>
    <row r="493" spans="24:25" x14ac:dyDescent="0.25">
      <c r="X493" s="478"/>
      <c r="Y493" s="478"/>
    </row>
    <row r="494" spans="24:25" x14ac:dyDescent="0.25">
      <c r="X494" s="478"/>
      <c r="Y494" s="478"/>
    </row>
    <row r="495" spans="24:25" x14ac:dyDescent="0.25">
      <c r="X495" s="478"/>
      <c r="Y495" s="478"/>
    </row>
    <row r="496" spans="24:25" x14ac:dyDescent="0.25">
      <c r="X496" s="478"/>
      <c r="Y496" s="478"/>
    </row>
    <row r="497" spans="24:25" x14ac:dyDescent="0.25">
      <c r="X497" s="478"/>
      <c r="Y497" s="478"/>
    </row>
    <row r="498" spans="24:25" x14ac:dyDescent="0.25">
      <c r="X498" s="478"/>
      <c r="Y498" s="478"/>
    </row>
    <row r="499" spans="24:25" x14ac:dyDescent="0.25">
      <c r="X499" s="478"/>
      <c r="Y499" s="478"/>
    </row>
    <row r="500" spans="24:25" x14ac:dyDescent="0.25">
      <c r="X500" s="478"/>
      <c r="Y500" s="478"/>
    </row>
    <row r="501" spans="24:25" x14ac:dyDescent="0.25">
      <c r="X501" s="478"/>
      <c r="Y501" s="478"/>
    </row>
    <row r="502" spans="24:25" x14ac:dyDescent="0.25">
      <c r="X502" s="478"/>
      <c r="Y502" s="478"/>
    </row>
    <row r="503" spans="24:25" x14ac:dyDescent="0.25">
      <c r="X503" s="478"/>
      <c r="Y503" s="478"/>
    </row>
    <row r="504" spans="24:25" x14ac:dyDescent="0.25">
      <c r="X504" s="478"/>
      <c r="Y504" s="478"/>
    </row>
    <row r="505" spans="24:25" x14ac:dyDescent="0.25">
      <c r="X505" s="478"/>
      <c r="Y505" s="478"/>
    </row>
    <row r="506" spans="24:25" x14ac:dyDescent="0.25">
      <c r="X506" s="478"/>
      <c r="Y506" s="478"/>
    </row>
    <row r="507" spans="24:25" x14ac:dyDescent="0.25">
      <c r="X507" s="478"/>
      <c r="Y507" s="478"/>
    </row>
    <row r="508" spans="24:25" x14ac:dyDescent="0.25">
      <c r="X508" s="478"/>
      <c r="Y508" s="478"/>
    </row>
    <row r="509" spans="24:25" x14ac:dyDescent="0.25">
      <c r="X509" s="478"/>
      <c r="Y509" s="478"/>
    </row>
    <row r="510" spans="24:25" x14ac:dyDescent="0.25">
      <c r="X510" s="478"/>
      <c r="Y510" s="478"/>
    </row>
    <row r="511" spans="24:25" x14ac:dyDescent="0.25">
      <c r="X511" s="478"/>
      <c r="Y511" s="478"/>
    </row>
    <row r="512" spans="24:25" x14ac:dyDescent="0.25">
      <c r="X512" s="478"/>
      <c r="Y512" s="478"/>
    </row>
    <row r="513" spans="24:25" x14ac:dyDescent="0.25">
      <c r="X513" s="478"/>
      <c r="Y513" s="478"/>
    </row>
    <row r="514" spans="24:25" x14ac:dyDescent="0.25">
      <c r="X514" s="478"/>
      <c r="Y514" s="478"/>
    </row>
    <row r="515" spans="24:25" x14ac:dyDescent="0.25">
      <c r="X515" s="478"/>
      <c r="Y515" s="478"/>
    </row>
    <row r="516" spans="24:25" x14ac:dyDescent="0.25">
      <c r="X516" s="478"/>
      <c r="Y516" s="478"/>
    </row>
    <row r="517" spans="24:25" x14ac:dyDescent="0.25">
      <c r="X517" s="478"/>
      <c r="Y517" s="478"/>
    </row>
    <row r="518" spans="24:25" x14ac:dyDescent="0.25">
      <c r="X518" s="478"/>
      <c r="Y518" s="478"/>
    </row>
    <row r="519" spans="24:25" x14ac:dyDescent="0.25">
      <c r="X519" s="478"/>
      <c r="Y519" s="478"/>
    </row>
    <row r="520" spans="24:25" x14ac:dyDescent="0.25">
      <c r="X520" s="478"/>
      <c r="Y520" s="478"/>
    </row>
    <row r="521" spans="24:25" x14ac:dyDescent="0.25">
      <c r="X521" s="478"/>
      <c r="Y521" s="478"/>
    </row>
    <row r="522" spans="24:25" x14ac:dyDescent="0.25">
      <c r="X522" s="478"/>
      <c r="Y522" s="478"/>
    </row>
    <row r="523" spans="24:25" x14ac:dyDescent="0.25">
      <c r="X523" s="478"/>
      <c r="Y523" s="478"/>
    </row>
    <row r="524" spans="24:25" x14ac:dyDescent="0.25">
      <c r="X524" s="478"/>
      <c r="Y524" s="478"/>
    </row>
    <row r="525" spans="24:25" x14ac:dyDescent="0.25">
      <c r="X525" s="478"/>
      <c r="Y525" s="478"/>
    </row>
    <row r="526" spans="24:25" x14ac:dyDescent="0.25">
      <c r="X526" s="478"/>
      <c r="Y526" s="478"/>
    </row>
    <row r="527" spans="24:25" x14ac:dyDescent="0.25">
      <c r="X527" s="478"/>
      <c r="Y527" s="478"/>
    </row>
    <row r="528" spans="24:25" x14ac:dyDescent="0.25">
      <c r="X528" s="478"/>
      <c r="Y528" s="478"/>
    </row>
    <row r="529" spans="24:25" x14ac:dyDescent="0.25">
      <c r="X529" s="478"/>
      <c r="Y529" s="478"/>
    </row>
    <row r="530" spans="24:25" x14ac:dyDescent="0.25">
      <c r="X530" s="478"/>
      <c r="Y530" s="478"/>
    </row>
    <row r="531" spans="24:25" x14ac:dyDescent="0.25">
      <c r="X531" s="478"/>
      <c r="Y531" s="478"/>
    </row>
    <row r="532" spans="24:25" x14ac:dyDescent="0.25">
      <c r="X532" s="478"/>
      <c r="Y532" s="478"/>
    </row>
    <row r="533" spans="24:25" x14ac:dyDescent="0.25">
      <c r="X533" s="478"/>
      <c r="Y533" s="478"/>
    </row>
    <row r="534" spans="24:25" x14ac:dyDescent="0.25">
      <c r="X534" s="478"/>
      <c r="Y534" s="478"/>
    </row>
    <row r="535" spans="24:25" x14ac:dyDescent="0.25">
      <c r="X535" s="478"/>
      <c r="Y535" s="478"/>
    </row>
    <row r="536" spans="24:25" x14ac:dyDescent="0.25">
      <c r="X536" s="478"/>
      <c r="Y536" s="478"/>
    </row>
    <row r="537" spans="24:25" x14ac:dyDescent="0.25">
      <c r="X537" s="478"/>
      <c r="Y537" s="478"/>
    </row>
    <row r="538" spans="24:25" x14ac:dyDescent="0.25">
      <c r="X538" s="478"/>
      <c r="Y538" s="478"/>
    </row>
    <row r="539" spans="24:25" x14ac:dyDescent="0.25">
      <c r="X539" s="478"/>
      <c r="Y539" s="478"/>
    </row>
    <row r="540" spans="24:25" x14ac:dyDescent="0.25">
      <c r="X540" s="478"/>
      <c r="Y540" s="478"/>
    </row>
    <row r="541" spans="24:25" x14ac:dyDescent="0.25">
      <c r="X541" s="478"/>
      <c r="Y541" s="478"/>
    </row>
    <row r="542" spans="24:25" x14ac:dyDescent="0.25">
      <c r="X542" s="478"/>
      <c r="Y542" s="478"/>
    </row>
    <row r="543" spans="24:25" x14ac:dyDescent="0.25">
      <c r="X543" s="478"/>
      <c r="Y543" s="478"/>
    </row>
    <row r="544" spans="24:25" x14ac:dyDescent="0.25">
      <c r="X544" s="478"/>
      <c r="Y544" s="478"/>
    </row>
    <row r="545" spans="24:25" x14ac:dyDescent="0.25">
      <c r="X545" s="478"/>
      <c r="Y545" s="478"/>
    </row>
    <row r="546" spans="24:25" x14ac:dyDescent="0.25">
      <c r="X546" s="478"/>
      <c r="Y546" s="478"/>
    </row>
    <row r="547" spans="24:25" x14ac:dyDescent="0.25">
      <c r="X547" s="478"/>
      <c r="Y547" s="478"/>
    </row>
    <row r="548" spans="24:25" x14ac:dyDescent="0.25">
      <c r="X548" s="478"/>
      <c r="Y548" s="478"/>
    </row>
    <row r="549" spans="24:25" x14ac:dyDescent="0.25">
      <c r="X549" s="478"/>
      <c r="Y549" s="478"/>
    </row>
    <row r="550" spans="24:25" x14ac:dyDescent="0.25">
      <c r="X550" s="478"/>
      <c r="Y550" s="478"/>
    </row>
    <row r="551" spans="24:25" x14ac:dyDescent="0.25">
      <c r="X551" s="478"/>
      <c r="Y551" s="478"/>
    </row>
    <row r="552" spans="24:25" x14ac:dyDescent="0.25">
      <c r="X552" s="478"/>
      <c r="Y552" s="478"/>
    </row>
    <row r="553" spans="24:25" x14ac:dyDescent="0.25">
      <c r="X553" s="478"/>
      <c r="Y553" s="478"/>
    </row>
    <row r="554" spans="24:25" x14ac:dyDescent="0.25">
      <c r="X554" s="478"/>
      <c r="Y554" s="478"/>
    </row>
    <row r="555" spans="24:25" x14ac:dyDescent="0.25">
      <c r="X555" s="478"/>
      <c r="Y555" s="478"/>
    </row>
    <row r="556" spans="24:25" x14ac:dyDescent="0.25">
      <c r="X556" s="478"/>
      <c r="Y556" s="478"/>
    </row>
    <row r="557" spans="24:25" x14ac:dyDescent="0.25">
      <c r="X557" s="478"/>
      <c r="Y557" s="478"/>
    </row>
    <row r="558" spans="24:25" x14ac:dyDescent="0.25">
      <c r="X558" s="478"/>
      <c r="Y558" s="478"/>
    </row>
    <row r="559" spans="24:25" x14ac:dyDescent="0.25">
      <c r="X559" s="478"/>
      <c r="Y559" s="478"/>
    </row>
    <row r="560" spans="24:25" x14ac:dyDescent="0.25">
      <c r="X560" s="478"/>
      <c r="Y560" s="478"/>
    </row>
    <row r="561" spans="24:25" x14ac:dyDescent="0.25">
      <c r="X561" s="478"/>
      <c r="Y561" s="478"/>
    </row>
    <row r="562" spans="24:25" x14ac:dyDescent="0.25">
      <c r="X562" s="478"/>
      <c r="Y562" s="478"/>
    </row>
    <row r="563" spans="24:25" x14ac:dyDescent="0.25">
      <c r="X563" s="478"/>
      <c r="Y563" s="478"/>
    </row>
    <row r="564" spans="24:25" x14ac:dyDescent="0.25">
      <c r="X564" s="478"/>
      <c r="Y564" s="478"/>
    </row>
    <row r="565" spans="24:25" x14ac:dyDescent="0.25">
      <c r="X565" s="478"/>
      <c r="Y565" s="478"/>
    </row>
    <row r="566" spans="24:25" x14ac:dyDescent="0.25">
      <c r="X566" s="478"/>
      <c r="Y566" s="478"/>
    </row>
    <row r="567" spans="24:25" x14ac:dyDescent="0.25">
      <c r="X567" s="478"/>
      <c r="Y567" s="478"/>
    </row>
    <row r="568" spans="24:25" x14ac:dyDescent="0.25">
      <c r="X568" s="478"/>
      <c r="Y568" s="478"/>
    </row>
    <row r="569" spans="24:25" x14ac:dyDescent="0.25">
      <c r="X569" s="478"/>
      <c r="Y569" s="478"/>
    </row>
    <row r="570" spans="24:25" x14ac:dyDescent="0.25">
      <c r="X570" s="478"/>
      <c r="Y570" s="478"/>
    </row>
    <row r="571" spans="24:25" x14ac:dyDescent="0.25">
      <c r="X571" s="478"/>
      <c r="Y571" s="478"/>
    </row>
    <row r="572" spans="24:25" x14ac:dyDescent="0.25">
      <c r="X572" s="478"/>
      <c r="Y572" s="478"/>
    </row>
    <row r="573" spans="24:25" x14ac:dyDescent="0.25">
      <c r="X573" s="478"/>
      <c r="Y573" s="478"/>
    </row>
    <row r="574" spans="24:25" x14ac:dyDescent="0.25">
      <c r="X574" s="478"/>
      <c r="Y574" s="478"/>
    </row>
    <row r="575" spans="24:25" x14ac:dyDescent="0.25">
      <c r="X575" s="478"/>
      <c r="Y575" s="478"/>
    </row>
    <row r="576" spans="24:25" x14ac:dyDescent="0.25">
      <c r="X576" s="478"/>
      <c r="Y576" s="478"/>
    </row>
    <row r="577" spans="24:25" x14ac:dyDescent="0.25">
      <c r="X577" s="478"/>
      <c r="Y577" s="478"/>
    </row>
    <row r="578" spans="24:25" x14ac:dyDescent="0.25">
      <c r="X578" s="478"/>
      <c r="Y578" s="478"/>
    </row>
    <row r="579" spans="24:25" x14ac:dyDescent="0.25">
      <c r="X579" s="478"/>
      <c r="Y579" s="478"/>
    </row>
    <row r="580" spans="24:25" x14ac:dyDescent="0.25">
      <c r="X580" s="478"/>
      <c r="Y580" s="478"/>
    </row>
    <row r="581" spans="24:25" x14ac:dyDescent="0.25">
      <c r="X581" s="478"/>
      <c r="Y581" s="478"/>
    </row>
    <row r="582" spans="24:25" x14ac:dyDescent="0.25">
      <c r="X582" s="478"/>
      <c r="Y582" s="478"/>
    </row>
    <row r="583" spans="24:25" x14ac:dyDescent="0.25">
      <c r="X583" s="478"/>
      <c r="Y583" s="478"/>
    </row>
    <row r="584" spans="24:25" x14ac:dyDescent="0.25">
      <c r="X584" s="478"/>
      <c r="Y584" s="478"/>
    </row>
    <row r="585" spans="24:25" x14ac:dyDescent="0.25">
      <c r="X585" s="478"/>
      <c r="Y585" s="478"/>
    </row>
    <row r="586" spans="24:25" x14ac:dyDescent="0.25">
      <c r="X586" s="478"/>
      <c r="Y586" s="478"/>
    </row>
    <row r="587" spans="24:25" x14ac:dyDescent="0.25">
      <c r="X587" s="478"/>
      <c r="Y587" s="478"/>
    </row>
    <row r="588" spans="24:25" x14ac:dyDescent="0.25">
      <c r="X588" s="478"/>
      <c r="Y588" s="478"/>
    </row>
    <row r="589" spans="24:25" x14ac:dyDescent="0.25">
      <c r="X589" s="478"/>
      <c r="Y589" s="478"/>
    </row>
    <row r="590" spans="24:25" x14ac:dyDescent="0.25">
      <c r="X590" s="478"/>
      <c r="Y590" s="478"/>
    </row>
    <row r="591" spans="24:25" x14ac:dyDescent="0.25">
      <c r="X591" s="478"/>
      <c r="Y591" s="478"/>
    </row>
    <row r="592" spans="24:25" x14ac:dyDescent="0.25">
      <c r="X592" s="478"/>
      <c r="Y592" s="478"/>
    </row>
    <row r="593" spans="24:25" x14ac:dyDescent="0.25">
      <c r="X593" s="478"/>
      <c r="Y593" s="478"/>
    </row>
    <row r="594" spans="24:25" x14ac:dyDescent="0.25">
      <c r="X594" s="478"/>
      <c r="Y594" s="478"/>
    </row>
    <row r="595" spans="24:25" x14ac:dyDescent="0.25">
      <c r="X595" s="478"/>
      <c r="Y595" s="478"/>
    </row>
    <row r="596" spans="24:25" x14ac:dyDescent="0.25">
      <c r="X596" s="478"/>
      <c r="Y596" s="478"/>
    </row>
    <row r="597" spans="24:25" x14ac:dyDescent="0.25">
      <c r="X597" s="478"/>
      <c r="Y597" s="478"/>
    </row>
    <row r="598" spans="24:25" x14ac:dyDescent="0.25">
      <c r="X598" s="478"/>
      <c r="Y598" s="478"/>
    </row>
    <row r="599" spans="24:25" x14ac:dyDescent="0.25">
      <c r="X599" s="478"/>
      <c r="Y599" s="478"/>
    </row>
    <row r="600" spans="24:25" x14ac:dyDescent="0.25">
      <c r="X600" s="478"/>
      <c r="Y600" s="478"/>
    </row>
    <row r="601" spans="24:25" x14ac:dyDescent="0.25">
      <c r="X601" s="478"/>
      <c r="Y601" s="478"/>
    </row>
    <row r="602" spans="24:25" x14ac:dyDescent="0.25">
      <c r="X602" s="478"/>
      <c r="Y602" s="478"/>
    </row>
    <row r="603" spans="24:25" x14ac:dyDescent="0.25">
      <c r="X603" s="478"/>
      <c r="Y603" s="478"/>
    </row>
    <row r="604" spans="24:25" x14ac:dyDescent="0.25">
      <c r="X604" s="478"/>
      <c r="Y604" s="478"/>
    </row>
    <row r="605" spans="24:25" x14ac:dyDescent="0.25">
      <c r="X605" s="478"/>
      <c r="Y605" s="478"/>
    </row>
    <row r="606" spans="24:25" x14ac:dyDescent="0.25">
      <c r="X606" s="478"/>
      <c r="Y606" s="478"/>
    </row>
    <row r="607" spans="24:25" x14ac:dyDescent="0.25">
      <c r="X607" s="478"/>
      <c r="Y607" s="478"/>
    </row>
    <row r="608" spans="24:25" x14ac:dyDescent="0.25">
      <c r="X608" s="478"/>
      <c r="Y608" s="478"/>
    </row>
    <row r="609" spans="24:25" x14ac:dyDescent="0.25">
      <c r="X609" s="478"/>
      <c r="Y609" s="478"/>
    </row>
    <row r="610" spans="24:25" x14ac:dyDescent="0.25">
      <c r="X610" s="478"/>
      <c r="Y610" s="478"/>
    </row>
    <row r="611" spans="24:25" x14ac:dyDescent="0.25">
      <c r="X611" s="478"/>
      <c r="Y611" s="478"/>
    </row>
    <row r="612" spans="24:25" x14ac:dyDescent="0.25">
      <c r="X612" s="478"/>
      <c r="Y612" s="478"/>
    </row>
    <row r="613" spans="24:25" x14ac:dyDescent="0.25">
      <c r="X613" s="478"/>
      <c r="Y613" s="478"/>
    </row>
    <row r="614" spans="24:25" x14ac:dyDescent="0.25">
      <c r="X614" s="478"/>
      <c r="Y614" s="478"/>
    </row>
    <row r="615" spans="24:25" x14ac:dyDescent="0.25">
      <c r="X615" s="478"/>
      <c r="Y615" s="478"/>
    </row>
    <row r="616" spans="24:25" x14ac:dyDescent="0.25">
      <c r="X616" s="478"/>
      <c r="Y616" s="478"/>
    </row>
    <row r="617" spans="24:25" x14ac:dyDescent="0.25">
      <c r="X617" s="478"/>
      <c r="Y617" s="478"/>
    </row>
    <row r="618" spans="24:25" x14ac:dyDescent="0.25">
      <c r="X618" s="478"/>
      <c r="Y618" s="478"/>
    </row>
    <row r="619" spans="24:25" x14ac:dyDescent="0.25">
      <c r="X619" s="478"/>
      <c r="Y619" s="478"/>
    </row>
    <row r="620" spans="24:25" x14ac:dyDescent="0.25">
      <c r="X620" s="478"/>
      <c r="Y620" s="478"/>
    </row>
    <row r="621" spans="24:25" x14ac:dyDescent="0.25">
      <c r="X621" s="478"/>
      <c r="Y621" s="478"/>
    </row>
    <row r="622" spans="24:25" x14ac:dyDescent="0.25">
      <c r="X622" s="478"/>
      <c r="Y622" s="478"/>
    </row>
    <row r="623" spans="24:25" x14ac:dyDescent="0.25">
      <c r="X623" s="478"/>
      <c r="Y623" s="478"/>
    </row>
    <row r="624" spans="24:25" x14ac:dyDescent="0.25">
      <c r="X624" s="478"/>
      <c r="Y624" s="478"/>
    </row>
    <row r="625" spans="24:25" x14ac:dyDescent="0.25">
      <c r="X625" s="478"/>
      <c r="Y625" s="478"/>
    </row>
    <row r="626" spans="24:25" x14ac:dyDescent="0.25">
      <c r="X626" s="478"/>
      <c r="Y626" s="478"/>
    </row>
    <row r="627" spans="24:25" x14ac:dyDescent="0.25">
      <c r="X627" s="478"/>
      <c r="Y627" s="478"/>
    </row>
    <row r="628" spans="24:25" x14ac:dyDescent="0.25">
      <c r="X628" s="478"/>
      <c r="Y628" s="478"/>
    </row>
    <row r="629" spans="24:25" x14ac:dyDescent="0.25">
      <c r="X629" s="478"/>
      <c r="Y629" s="478"/>
    </row>
    <row r="630" spans="24:25" x14ac:dyDescent="0.25">
      <c r="X630" s="478"/>
      <c r="Y630" s="478"/>
    </row>
    <row r="631" spans="24:25" x14ac:dyDescent="0.25">
      <c r="X631" s="478"/>
      <c r="Y631" s="478"/>
    </row>
    <row r="632" spans="24:25" x14ac:dyDescent="0.25">
      <c r="X632" s="478"/>
      <c r="Y632" s="478"/>
    </row>
    <row r="633" spans="24:25" x14ac:dyDescent="0.25">
      <c r="X633" s="478"/>
      <c r="Y633" s="478"/>
    </row>
    <row r="634" spans="24:25" x14ac:dyDescent="0.25">
      <c r="X634" s="478"/>
      <c r="Y634" s="478"/>
    </row>
    <row r="635" spans="24:25" x14ac:dyDescent="0.25">
      <c r="X635" s="478"/>
      <c r="Y635" s="478"/>
    </row>
    <row r="636" spans="24:25" x14ac:dyDescent="0.25">
      <c r="X636" s="478"/>
      <c r="Y636" s="478"/>
    </row>
    <row r="637" spans="24:25" x14ac:dyDescent="0.25">
      <c r="X637" s="478"/>
      <c r="Y637" s="478"/>
    </row>
    <row r="638" spans="24:25" x14ac:dyDescent="0.25">
      <c r="X638" s="478"/>
      <c r="Y638" s="478"/>
    </row>
    <row r="639" spans="24:25" x14ac:dyDescent="0.25">
      <c r="X639" s="478"/>
      <c r="Y639" s="478"/>
    </row>
    <row r="640" spans="24:25" x14ac:dyDescent="0.25">
      <c r="X640" s="478"/>
      <c r="Y640" s="478"/>
    </row>
    <row r="641" spans="24:25" x14ac:dyDescent="0.25">
      <c r="X641" s="478"/>
      <c r="Y641" s="478"/>
    </row>
    <row r="642" spans="24:25" x14ac:dyDescent="0.25">
      <c r="X642" s="478"/>
      <c r="Y642" s="478"/>
    </row>
    <row r="643" spans="24:25" x14ac:dyDescent="0.25">
      <c r="X643" s="478"/>
      <c r="Y643" s="478"/>
    </row>
    <row r="644" spans="24:25" x14ac:dyDescent="0.25">
      <c r="X644" s="478"/>
      <c r="Y644" s="478"/>
    </row>
    <row r="645" spans="24:25" x14ac:dyDescent="0.25">
      <c r="X645" s="478"/>
      <c r="Y645" s="478"/>
    </row>
    <row r="646" spans="24:25" x14ac:dyDescent="0.25">
      <c r="X646" s="478"/>
      <c r="Y646" s="478"/>
    </row>
    <row r="647" spans="24:25" x14ac:dyDescent="0.25">
      <c r="X647" s="478"/>
      <c r="Y647" s="478"/>
    </row>
    <row r="648" spans="24:25" x14ac:dyDescent="0.25">
      <c r="X648" s="478"/>
      <c r="Y648" s="478"/>
    </row>
    <row r="649" spans="24:25" x14ac:dyDescent="0.25">
      <c r="X649" s="478"/>
      <c r="Y649" s="478"/>
    </row>
    <row r="650" spans="24:25" x14ac:dyDescent="0.25">
      <c r="X650" s="478"/>
      <c r="Y650" s="478"/>
    </row>
    <row r="651" spans="24:25" x14ac:dyDescent="0.25">
      <c r="X651" s="478"/>
      <c r="Y651" s="478"/>
    </row>
    <row r="652" spans="24:25" x14ac:dyDescent="0.25">
      <c r="X652" s="478"/>
      <c r="Y652" s="478"/>
    </row>
    <row r="653" spans="24:25" x14ac:dyDescent="0.25">
      <c r="X653" s="478"/>
      <c r="Y653" s="478"/>
    </row>
    <row r="654" spans="24:25" x14ac:dyDescent="0.25">
      <c r="X654" s="478"/>
      <c r="Y654" s="478"/>
    </row>
    <row r="655" spans="24:25" x14ac:dyDescent="0.25">
      <c r="X655" s="478"/>
      <c r="Y655" s="478"/>
    </row>
    <row r="656" spans="24:25" x14ac:dyDescent="0.25">
      <c r="X656" s="478"/>
      <c r="Y656" s="478"/>
    </row>
    <row r="657" spans="24:25" x14ac:dyDescent="0.25">
      <c r="X657" s="478"/>
      <c r="Y657" s="478"/>
    </row>
    <row r="658" spans="24:25" x14ac:dyDescent="0.25">
      <c r="X658" s="478"/>
      <c r="Y658" s="478"/>
    </row>
    <row r="659" spans="24:25" x14ac:dyDescent="0.25">
      <c r="X659" s="478"/>
      <c r="Y659" s="478"/>
    </row>
    <row r="660" spans="24:25" x14ac:dyDescent="0.25">
      <c r="X660" s="478"/>
      <c r="Y660" s="478"/>
    </row>
    <row r="661" spans="24:25" x14ac:dyDescent="0.25">
      <c r="X661" s="478"/>
      <c r="Y661" s="478"/>
    </row>
    <row r="662" spans="24:25" x14ac:dyDescent="0.25">
      <c r="X662" s="478"/>
      <c r="Y662" s="478"/>
    </row>
    <row r="663" spans="24:25" x14ac:dyDescent="0.25">
      <c r="X663" s="478"/>
      <c r="Y663" s="478"/>
    </row>
    <row r="664" spans="24:25" x14ac:dyDescent="0.25">
      <c r="X664" s="478"/>
      <c r="Y664" s="478"/>
    </row>
    <row r="665" spans="24:25" x14ac:dyDescent="0.25">
      <c r="X665" s="478"/>
      <c r="Y665" s="478"/>
    </row>
    <row r="666" spans="24:25" x14ac:dyDescent="0.25">
      <c r="X666" s="478"/>
      <c r="Y666" s="478"/>
    </row>
    <row r="667" spans="24:25" x14ac:dyDescent="0.25">
      <c r="X667" s="478"/>
      <c r="Y667" s="478"/>
    </row>
    <row r="668" spans="24:25" x14ac:dyDescent="0.25">
      <c r="X668" s="478"/>
      <c r="Y668" s="478"/>
    </row>
    <row r="669" spans="24:25" x14ac:dyDescent="0.25">
      <c r="X669" s="478"/>
      <c r="Y669" s="478"/>
    </row>
    <row r="670" spans="24:25" x14ac:dyDescent="0.25">
      <c r="X670" s="478"/>
      <c r="Y670" s="478"/>
    </row>
    <row r="671" spans="24:25" x14ac:dyDescent="0.25">
      <c r="X671" s="478"/>
      <c r="Y671" s="478"/>
    </row>
    <row r="672" spans="24:25" x14ac:dyDescent="0.25">
      <c r="X672" s="478"/>
      <c r="Y672" s="478"/>
    </row>
    <row r="673" spans="24:25" x14ac:dyDescent="0.25">
      <c r="X673" s="478"/>
      <c r="Y673" s="478"/>
    </row>
    <row r="674" spans="24:25" x14ac:dyDescent="0.25">
      <c r="X674" s="478"/>
      <c r="Y674" s="478"/>
    </row>
    <row r="675" spans="24:25" x14ac:dyDescent="0.25">
      <c r="X675" s="478"/>
      <c r="Y675" s="478"/>
    </row>
    <row r="676" spans="24:25" x14ac:dyDescent="0.25">
      <c r="X676" s="478"/>
      <c r="Y676" s="478"/>
    </row>
    <row r="677" spans="24:25" x14ac:dyDescent="0.25">
      <c r="X677" s="478"/>
      <c r="Y677" s="478"/>
    </row>
    <row r="678" spans="24:25" x14ac:dyDescent="0.25">
      <c r="X678" s="478"/>
      <c r="Y678" s="478"/>
    </row>
    <row r="679" spans="24:25" x14ac:dyDescent="0.25">
      <c r="X679" s="478"/>
      <c r="Y679" s="478"/>
    </row>
    <row r="680" spans="24:25" x14ac:dyDescent="0.25">
      <c r="X680" s="478"/>
      <c r="Y680" s="478"/>
    </row>
    <row r="681" spans="24:25" x14ac:dyDescent="0.25">
      <c r="X681" s="478"/>
      <c r="Y681" s="478"/>
    </row>
    <row r="682" spans="24:25" x14ac:dyDescent="0.25">
      <c r="X682" s="478"/>
      <c r="Y682" s="478"/>
    </row>
    <row r="683" spans="24:25" x14ac:dyDescent="0.25">
      <c r="X683" s="478"/>
      <c r="Y683" s="478"/>
    </row>
    <row r="684" spans="24:25" x14ac:dyDescent="0.25">
      <c r="X684" s="478"/>
      <c r="Y684" s="478"/>
    </row>
    <row r="685" spans="24:25" x14ac:dyDescent="0.25">
      <c r="X685" s="478"/>
      <c r="Y685" s="478"/>
    </row>
    <row r="686" spans="24:25" x14ac:dyDescent="0.25">
      <c r="X686" s="478"/>
      <c r="Y686" s="478"/>
    </row>
    <row r="687" spans="24:25" x14ac:dyDescent="0.25">
      <c r="X687" s="478"/>
      <c r="Y687" s="478"/>
    </row>
    <row r="688" spans="24:25" x14ac:dyDescent="0.25">
      <c r="X688" s="478"/>
      <c r="Y688" s="478"/>
    </row>
    <row r="689" spans="24:25" x14ac:dyDescent="0.25">
      <c r="X689" s="478"/>
      <c r="Y689" s="478"/>
    </row>
    <row r="690" spans="24:25" x14ac:dyDescent="0.25">
      <c r="X690" s="478"/>
      <c r="Y690" s="478"/>
    </row>
    <row r="691" spans="24:25" x14ac:dyDescent="0.25">
      <c r="X691" s="478"/>
      <c r="Y691" s="478"/>
    </row>
    <row r="692" spans="24:25" x14ac:dyDescent="0.25">
      <c r="X692" s="478"/>
      <c r="Y692" s="478"/>
    </row>
    <row r="693" spans="24:25" x14ac:dyDescent="0.25">
      <c r="X693" s="478"/>
      <c r="Y693" s="478"/>
    </row>
    <row r="694" spans="24:25" x14ac:dyDescent="0.25">
      <c r="X694" s="478"/>
      <c r="Y694" s="478"/>
    </row>
    <row r="695" spans="24:25" x14ac:dyDescent="0.25">
      <c r="X695" s="478"/>
      <c r="Y695" s="478"/>
    </row>
    <row r="696" spans="24:25" x14ac:dyDescent="0.25">
      <c r="X696" s="478"/>
      <c r="Y696" s="478"/>
    </row>
    <row r="697" spans="24:25" x14ac:dyDescent="0.25">
      <c r="X697" s="478"/>
      <c r="Y697" s="478"/>
    </row>
    <row r="698" spans="24:25" x14ac:dyDescent="0.25">
      <c r="X698" s="478"/>
      <c r="Y698" s="478"/>
    </row>
    <row r="699" spans="24:25" x14ac:dyDescent="0.25">
      <c r="X699" s="478"/>
      <c r="Y699" s="478"/>
    </row>
    <row r="700" spans="24:25" x14ac:dyDescent="0.25">
      <c r="X700" s="478"/>
      <c r="Y700" s="478"/>
    </row>
    <row r="701" spans="24:25" x14ac:dyDescent="0.25">
      <c r="X701" s="478"/>
      <c r="Y701" s="478"/>
    </row>
    <row r="702" spans="24:25" x14ac:dyDescent="0.25">
      <c r="X702" s="478"/>
      <c r="Y702" s="478"/>
    </row>
    <row r="703" spans="24:25" x14ac:dyDescent="0.25">
      <c r="X703" s="478"/>
      <c r="Y703" s="478"/>
    </row>
    <row r="704" spans="24:25" x14ac:dyDescent="0.25">
      <c r="X704" s="478"/>
      <c r="Y704" s="478"/>
    </row>
    <row r="705" spans="24:25" x14ac:dyDescent="0.25">
      <c r="X705" s="478"/>
      <c r="Y705" s="478"/>
    </row>
    <row r="706" spans="24:25" x14ac:dyDescent="0.25">
      <c r="X706" s="478"/>
      <c r="Y706" s="478"/>
    </row>
    <row r="707" spans="24:25" x14ac:dyDescent="0.25">
      <c r="X707" s="478"/>
      <c r="Y707" s="478"/>
    </row>
    <row r="708" spans="24:25" x14ac:dyDescent="0.25">
      <c r="X708" s="478"/>
      <c r="Y708" s="478"/>
    </row>
    <row r="709" spans="24:25" x14ac:dyDescent="0.25">
      <c r="X709" s="478"/>
      <c r="Y709" s="478"/>
    </row>
    <row r="710" spans="24:25" x14ac:dyDescent="0.25">
      <c r="X710" s="478"/>
      <c r="Y710" s="478"/>
    </row>
    <row r="711" spans="24:25" x14ac:dyDescent="0.25">
      <c r="X711" s="478"/>
      <c r="Y711" s="478"/>
    </row>
    <row r="712" spans="24:25" x14ac:dyDescent="0.25">
      <c r="X712" s="478"/>
      <c r="Y712" s="478"/>
    </row>
    <row r="713" spans="24:25" x14ac:dyDescent="0.25">
      <c r="X713" s="478"/>
      <c r="Y713" s="478"/>
    </row>
    <row r="714" spans="24:25" x14ac:dyDescent="0.25">
      <c r="X714" s="478"/>
      <c r="Y714" s="478"/>
    </row>
    <row r="715" spans="24:25" x14ac:dyDescent="0.25">
      <c r="X715" s="478"/>
      <c r="Y715" s="478"/>
    </row>
    <row r="716" spans="24:25" x14ac:dyDescent="0.25">
      <c r="X716" s="478"/>
      <c r="Y716" s="478"/>
    </row>
    <row r="717" spans="24:25" x14ac:dyDescent="0.25">
      <c r="X717" s="478"/>
      <c r="Y717" s="478"/>
    </row>
    <row r="718" spans="24:25" x14ac:dyDescent="0.25">
      <c r="X718" s="478"/>
      <c r="Y718" s="478"/>
    </row>
    <row r="719" spans="24:25" x14ac:dyDescent="0.25">
      <c r="X719" s="478"/>
      <c r="Y719" s="478"/>
    </row>
    <row r="720" spans="24:25" x14ac:dyDescent="0.25">
      <c r="X720" s="478"/>
      <c r="Y720" s="478"/>
    </row>
    <row r="721" spans="24:25" x14ac:dyDescent="0.25">
      <c r="X721" s="478"/>
      <c r="Y721" s="478"/>
    </row>
    <row r="722" spans="24:25" x14ac:dyDescent="0.25">
      <c r="X722" s="478"/>
      <c r="Y722" s="478"/>
    </row>
    <row r="723" spans="24:25" x14ac:dyDescent="0.25">
      <c r="X723" s="478"/>
      <c r="Y723" s="478"/>
    </row>
    <row r="724" spans="24:25" x14ac:dyDescent="0.25">
      <c r="X724" s="478"/>
      <c r="Y724" s="478"/>
    </row>
    <row r="725" spans="24:25" x14ac:dyDescent="0.25">
      <c r="X725" s="478"/>
      <c r="Y725" s="478"/>
    </row>
    <row r="726" spans="24:25" x14ac:dyDescent="0.25">
      <c r="X726" s="478"/>
      <c r="Y726" s="478"/>
    </row>
    <row r="727" spans="24:25" x14ac:dyDescent="0.25">
      <c r="X727" s="478"/>
      <c r="Y727" s="478"/>
    </row>
    <row r="728" spans="24:25" x14ac:dyDescent="0.25">
      <c r="X728" s="478"/>
      <c r="Y728" s="478"/>
    </row>
    <row r="729" spans="24:25" x14ac:dyDescent="0.25">
      <c r="X729" s="478"/>
      <c r="Y729" s="478"/>
    </row>
    <row r="730" spans="24:25" x14ac:dyDescent="0.25">
      <c r="X730" s="478"/>
      <c r="Y730" s="478"/>
    </row>
    <row r="731" spans="24:25" x14ac:dyDescent="0.25">
      <c r="X731" s="478"/>
      <c r="Y731" s="478"/>
    </row>
    <row r="732" spans="24:25" x14ac:dyDescent="0.25">
      <c r="X732" s="478"/>
      <c r="Y732" s="478"/>
    </row>
    <row r="733" spans="24:25" x14ac:dyDescent="0.25">
      <c r="X733" s="478"/>
      <c r="Y733" s="478"/>
    </row>
    <row r="734" spans="24:25" x14ac:dyDescent="0.25">
      <c r="X734" s="478"/>
      <c r="Y734" s="478"/>
    </row>
    <row r="735" spans="24:25" x14ac:dyDescent="0.25">
      <c r="X735" s="478"/>
      <c r="Y735" s="478"/>
    </row>
    <row r="736" spans="24:25" x14ac:dyDescent="0.25">
      <c r="X736" s="478"/>
      <c r="Y736" s="478"/>
    </row>
    <row r="737" spans="24:25" x14ac:dyDescent="0.25">
      <c r="X737" s="478"/>
      <c r="Y737" s="478"/>
    </row>
    <row r="738" spans="24:25" x14ac:dyDescent="0.25">
      <c r="X738" s="478"/>
      <c r="Y738" s="478"/>
    </row>
    <row r="739" spans="24:25" x14ac:dyDescent="0.25">
      <c r="X739" s="478"/>
      <c r="Y739" s="478"/>
    </row>
    <row r="740" spans="24:25" x14ac:dyDescent="0.25">
      <c r="X740" s="478"/>
      <c r="Y740" s="478"/>
    </row>
    <row r="741" spans="24:25" x14ac:dyDescent="0.25">
      <c r="X741" s="478"/>
      <c r="Y741" s="478"/>
    </row>
    <row r="742" spans="24:25" x14ac:dyDescent="0.25">
      <c r="X742" s="478"/>
      <c r="Y742" s="478"/>
    </row>
    <row r="743" spans="24:25" x14ac:dyDescent="0.25">
      <c r="X743" s="478"/>
      <c r="Y743" s="478"/>
    </row>
    <row r="744" spans="24:25" x14ac:dyDescent="0.25">
      <c r="X744" s="478"/>
      <c r="Y744" s="478"/>
    </row>
    <row r="745" spans="24:25" x14ac:dyDescent="0.25">
      <c r="X745" s="478"/>
      <c r="Y745" s="478"/>
    </row>
    <row r="746" spans="24:25" x14ac:dyDescent="0.25">
      <c r="X746" s="478"/>
      <c r="Y746" s="478"/>
    </row>
    <row r="747" spans="24:25" x14ac:dyDescent="0.25">
      <c r="X747" s="478"/>
      <c r="Y747" s="478"/>
    </row>
    <row r="748" spans="24:25" x14ac:dyDescent="0.25">
      <c r="X748" s="478"/>
      <c r="Y748" s="478"/>
    </row>
    <row r="749" spans="24:25" x14ac:dyDescent="0.25">
      <c r="X749" s="478"/>
      <c r="Y749" s="478"/>
    </row>
    <row r="750" spans="24:25" x14ac:dyDescent="0.25">
      <c r="X750" s="478"/>
      <c r="Y750" s="478"/>
    </row>
    <row r="751" spans="24:25" x14ac:dyDescent="0.25">
      <c r="X751" s="478"/>
      <c r="Y751" s="478"/>
    </row>
    <row r="752" spans="24:25" x14ac:dyDescent="0.25">
      <c r="X752" s="478"/>
      <c r="Y752" s="478"/>
    </row>
    <row r="753" spans="24:25" x14ac:dyDescent="0.25">
      <c r="X753" s="478"/>
      <c r="Y753" s="478"/>
    </row>
    <row r="754" spans="24:25" x14ac:dyDescent="0.25">
      <c r="X754" s="478"/>
      <c r="Y754" s="478"/>
    </row>
    <row r="755" spans="24:25" x14ac:dyDescent="0.25">
      <c r="X755" s="478"/>
      <c r="Y755" s="478"/>
    </row>
    <row r="756" spans="24:25" x14ac:dyDescent="0.25">
      <c r="X756" s="478"/>
      <c r="Y756" s="478"/>
    </row>
    <row r="757" spans="24:25" x14ac:dyDescent="0.25">
      <c r="X757" s="478"/>
      <c r="Y757" s="478"/>
    </row>
    <row r="758" spans="24:25" x14ac:dyDescent="0.25">
      <c r="X758" s="478"/>
      <c r="Y758" s="478"/>
    </row>
    <row r="759" spans="24:25" x14ac:dyDescent="0.25">
      <c r="X759" s="478"/>
      <c r="Y759" s="478"/>
    </row>
    <row r="760" spans="24:25" x14ac:dyDescent="0.25">
      <c r="X760" s="478"/>
      <c r="Y760" s="478"/>
    </row>
    <row r="761" spans="24:25" x14ac:dyDescent="0.25">
      <c r="X761" s="478"/>
      <c r="Y761" s="478"/>
    </row>
    <row r="762" spans="24:25" x14ac:dyDescent="0.25">
      <c r="X762" s="478"/>
      <c r="Y762" s="478"/>
    </row>
    <row r="763" spans="24:25" x14ac:dyDescent="0.25">
      <c r="X763" s="478"/>
      <c r="Y763" s="478"/>
    </row>
    <row r="764" spans="24:25" x14ac:dyDescent="0.25">
      <c r="X764" s="478"/>
      <c r="Y764" s="478"/>
    </row>
    <row r="765" spans="24:25" x14ac:dyDescent="0.25">
      <c r="X765" s="478"/>
      <c r="Y765" s="478"/>
    </row>
    <row r="766" spans="24:25" x14ac:dyDescent="0.25">
      <c r="X766" s="478"/>
      <c r="Y766" s="478"/>
    </row>
    <row r="767" spans="24:25" x14ac:dyDescent="0.25">
      <c r="X767" s="478"/>
      <c r="Y767" s="478"/>
    </row>
    <row r="768" spans="24:25" x14ac:dyDescent="0.25">
      <c r="X768" s="478"/>
      <c r="Y768" s="478"/>
    </row>
    <row r="769" spans="24:25" x14ac:dyDescent="0.25">
      <c r="X769" s="478"/>
      <c r="Y769" s="478"/>
    </row>
    <row r="770" spans="24:25" x14ac:dyDescent="0.25">
      <c r="X770" s="478"/>
      <c r="Y770" s="478"/>
    </row>
    <row r="771" spans="24:25" x14ac:dyDescent="0.25">
      <c r="X771" s="478"/>
      <c r="Y771" s="478"/>
    </row>
    <row r="772" spans="24:25" x14ac:dyDescent="0.25">
      <c r="X772" s="478"/>
      <c r="Y772" s="478"/>
    </row>
    <row r="773" spans="24:25" x14ac:dyDescent="0.25">
      <c r="X773" s="478"/>
      <c r="Y773" s="478"/>
    </row>
    <row r="774" spans="24:25" x14ac:dyDescent="0.25">
      <c r="X774" s="478"/>
      <c r="Y774" s="478"/>
    </row>
    <row r="775" spans="24:25" x14ac:dyDescent="0.25">
      <c r="X775" s="478"/>
      <c r="Y775" s="478"/>
    </row>
    <row r="776" spans="24:25" x14ac:dyDescent="0.25">
      <c r="X776" s="478"/>
      <c r="Y776" s="478"/>
    </row>
    <row r="777" spans="24:25" x14ac:dyDescent="0.25">
      <c r="X777" s="478"/>
      <c r="Y777" s="478"/>
    </row>
    <row r="778" spans="24:25" x14ac:dyDescent="0.25">
      <c r="X778" s="478"/>
      <c r="Y778" s="478"/>
    </row>
    <row r="779" spans="24:25" x14ac:dyDescent="0.25">
      <c r="X779" s="478"/>
      <c r="Y779" s="478"/>
    </row>
    <row r="780" spans="24:25" x14ac:dyDescent="0.25">
      <c r="X780" s="478"/>
      <c r="Y780" s="478"/>
    </row>
    <row r="781" spans="24:25" x14ac:dyDescent="0.25">
      <c r="X781" s="478"/>
      <c r="Y781" s="478"/>
    </row>
    <row r="782" spans="24:25" x14ac:dyDescent="0.25">
      <c r="X782" s="478"/>
      <c r="Y782" s="478"/>
    </row>
    <row r="783" spans="24:25" x14ac:dyDescent="0.25">
      <c r="X783" s="478"/>
      <c r="Y783" s="478"/>
    </row>
    <row r="784" spans="24:25" x14ac:dyDescent="0.25">
      <c r="X784" s="478"/>
      <c r="Y784" s="478"/>
    </row>
    <row r="785" spans="24:25" x14ac:dyDescent="0.25">
      <c r="X785" s="478"/>
      <c r="Y785" s="478"/>
    </row>
    <row r="786" spans="24:25" x14ac:dyDescent="0.25">
      <c r="X786" s="478"/>
      <c r="Y786" s="478"/>
    </row>
    <row r="787" spans="24:25" x14ac:dyDescent="0.25">
      <c r="X787" s="478"/>
      <c r="Y787" s="478"/>
    </row>
    <row r="788" spans="24:25" x14ac:dyDescent="0.25">
      <c r="X788" s="478"/>
      <c r="Y788" s="478"/>
    </row>
    <row r="789" spans="24:25" x14ac:dyDescent="0.25">
      <c r="X789" s="478"/>
      <c r="Y789" s="478"/>
    </row>
    <row r="790" spans="24:25" x14ac:dyDescent="0.25">
      <c r="X790" s="478"/>
      <c r="Y790" s="478"/>
    </row>
    <row r="791" spans="24:25" x14ac:dyDescent="0.25">
      <c r="X791" s="478"/>
      <c r="Y791" s="478"/>
    </row>
    <row r="792" spans="24:25" x14ac:dyDescent="0.25">
      <c r="X792" s="478"/>
      <c r="Y792" s="478"/>
    </row>
    <row r="793" spans="24:25" x14ac:dyDescent="0.25">
      <c r="X793" s="478"/>
      <c r="Y793" s="478"/>
    </row>
    <row r="794" spans="24:25" x14ac:dyDescent="0.25">
      <c r="X794" s="478"/>
      <c r="Y794" s="478"/>
    </row>
    <row r="795" spans="24:25" x14ac:dyDescent="0.25">
      <c r="X795" s="478"/>
      <c r="Y795" s="478"/>
    </row>
    <row r="796" spans="24:25" x14ac:dyDescent="0.25">
      <c r="X796" s="478"/>
      <c r="Y796" s="478"/>
    </row>
    <row r="797" spans="24:25" x14ac:dyDescent="0.25">
      <c r="X797" s="478"/>
      <c r="Y797" s="478"/>
    </row>
    <row r="798" spans="24:25" x14ac:dyDescent="0.25">
      <c r="X798" s="478"/>
      <c r="Y798" s="478"/>
    </row>
    <row r="799" spans="24:25" x14ac:dyDescent="0.25">
      <c r="X799" s="478"/>
      <c r="Y799" s="478"/>
    </row>
    <row r="800" spans="24:25" x14ac:dyDescent="0.25">
      <c r="X800" s="478"/>
      <c r="Y800" s="478"/>
    </row>
    <row r="801" spans="24:25" x14ac:dyDescent="0.25">
      <c r="X801" s="478"/>
      <c r="Y801" s="478"/>
    </row>
    <row r="802" spans="24:25" x14ac:dyDescent="0.25">
      <c r="X802" s="478"/>
      <c r="Y802" s="478"/>
    </row>
    <row r="803" spans="24:25" x14ac:dyDescent="0.25">
      <c r="X803" s="478"/>
      <c r="Y803" s="478"/>
    </row>
    <row r="804" spans="24:25" x14ac:dyDescent="0.25">
      <c r="X804" s="478"/>
      <c r="Y804" s="478"/>
    </row>
    <row r="805" spans="24:25" x14ac:dyDescent="0.25">
      <c r="X805" s="478"/>
      <c r="Y805" s="478"/>
    </row>
    <row r="806" spans="24:25" x14ac:dyDescent="0.25">
      <c r="X806" s="478"/>
      <c r="Y806" s="478"/>
    </row>
    <row r="807" spans="24:25" x14ac:dyDescent="0.25">
      <c r="X807" s="478"/>
      <c r="Y807" s="478"/>
    </row>
    <row r="808" spans="24:25" x14ac:dyDescent="0.25">
      <c r="X808" s="478"/>
      <c r="Y808" s="478"/>
    </row>
    <row r="809" spans="24:25" x14ac:dyDescent="0.25">
      <c r="X809" s="478"/>
      <c r="Y809" s="478"/>
    </row>
    <row r="810" spans="24:25" x14ac:dyDescent="0.25">
      <c r="X810" s="478"/>
      <c r="Y810" s="478"/>
    </row>
    <row r="811" spans="24:25" x14ac:dyDescent="0.25">
      <c r="X811" s="478"/>
      <c r="Y811" s="478"/>
    </row>
    <row r="812" spans="24:25" x14ac:dyDescent="0.25">
      <c r="X812" s="478"/>
      <c r="Y812" s="478"/>
    </row>
    <row r="813" spans="24:25" x14ac:dyDescent="0.25">
      <c r="X813" s="478"/>
      <c r="Y813" s="478"/>
    </row>
    <row r="814" spans="24:25" x14ac:dyDescent="0.25">
      <c r="X814" s="478"/>
      <c r="Y814" s="478"/>
    </row>
    <row r="815" spans="24:25" x14ac:dyDescent="0.25">
      <c r="X815" s="478"/>
      <c r="Y815" s="478"/>
    </row>
    <row r="816" spans="24:25" x14ac:dyDescent="0.25">
      <c r="X816" s="478"/>
      <c r="Y816" s="478"/>
    </row>
    <row r="817" spans="24:25" x14ac:dyDescent="0.25">
      <c r="X817" s="478"/>
      <c r="Y817" s="478"/>
    </row>
    <row r="818" spans="24:25" x14ac:dyDescent="0.25">
      <c r="X818" s="478"/>
      <c r="Y818" s="478"/>
    </row>
    <row r="819" spans="24:25" x14ac:dyDescent="0.25">
      <c r="X819" s="478"/>
      <c r="Y819" s="478"/>
    </row>
    <row r="820" spans="24:25" x14ac:dyDescent="0.25">
      <c r="X820" s="478"/>
      <c r="Y820" s="478"/>
    </row>
    <row r="821" spans="24:25" x14ac:dyDescent="0.25">
      <c r="X821" s="478"/>
      <c r="Y821" s="478"/>
    </row>
    <row r="822" spans="24:25" x14ac:dyDescent="0.25">
      <c r="X822" s="478"/>
      <c r="Y822" s="478"/>
    </row>
    <row r="823" spans="24:25" x14ac:dyDescent="0.25">
      <c r="X823" s="478"/>
      <c r="Y823" s="478"/>
    </row>
    <row r="824" spans="24:25" x14ac:dyDescent="0.25">
      <c r="X824" s="478"/>
      <c r="Y824" s="478"/>
    </row>
    <row r="825" spans="24:25" x14ac:dyDescent="0.25">
      <c r="X825" s="478"/>
      <c r="Y825" s="478"/>
    </row>
    <row r="826" spans="24:25" x14ac:dyDescent="0.25">
      <c r="X826" s="478"/>
      <c r="Y826" s="478"/>
    </row>
    <row r="827" spans="24:25" x14ac:dyDescent="0.25">
      <c r="X827" s="478"/>
      <c r="Y827" s="478"/>
    </row>
    <row r="828" spans="24:25" x14ac:dyDescent="0.25">
      <c r="X828" s="478"/>
      <c r="Y828" s="478"/>
    </row>
    <row r="829" spans="24:25" x14ac:dyDescent="0.25">
      <c r="X829" s="478"/>
      <c r="Y829" s="478"/>
    </row>
    <row r="830" spans="24:25" x14ac:dyDescent="0.25">
      <c r="X830" s="478"/>
      <c r="Y830" s="478"/>
    </row>
    <row r="831" spans="24:25" x14ac:dyDescent="0.25">
      <c r="X831" s="478"/>
      <c r="Y831" s="478"/>
    </row>
    <row r="832" spans="24:25" x14ac:dyDescent="0.25">
      <c r="X832" s="478"/>
      <c r="Y832" s="478"/>
    </row>
    <row r="833" spans="24:25" x14ac:dyDescent="0.25">
      <c r="X833" s="478"/>
      <c r="Y833" s="478"/>
    </row>
    <row r="834" spans="24:25" x14ac:dyDescent="0.25">
      <c r="X834" s="478"/>
      <c r="Y834" s="478"/>
    </row>
    <row r="835" spans="24:25" x14ac:dyDescent="0.25">
      <c r="X835" s="478"/>
      <c r="Y835" s="478"/>
    </row>
    <row r="836" spans="24:25" x14ac:dyDescent="0.25">
      <c r="X836" s="478"/>
      <c r="Y836" s="478"/>
    </row>
    <row r="837" spans="24:25" x14ac:dyDescent="0.25">
      <c r="X837" s="478"/>
      <c r="Y837" s="478"/>
    </row>
    <row r="838" spans="24:25" x14ac:dyDescent="0.25">
      <c r="X838" s="478"/>
      <c r="Y838" s="478"/>
    </row>
    <row r="839" spans="24:25" x14ac:dyDescent="0.25">
      <c r="X839" s="478"/>
      <c r="Y839" s="478"/>
    </row>
    <row r="840" spans="24:25" x14ac:dyDescent="0.25">
      <c r="X840" s="478"/>
      <c r="Y840" s="478"/>
    </row>
    <row r="841" spans="24:25" x14ac:dyDescent="0.25">
      <c r="X841" s="478"/>
      <c r="Y841" s="478"/>
    </row>
    <row r="842" spans="24:25" x14ac:dyDescent="0.25">
      <c r="X842" s="478"/>
      <c r="Y842" s="478"/>
    </row>
    <row r="843" spans="24:25" x14ac:dyDescent="0.25">
      <c r="X843" s="478"/>
      <c r="Y843" s="478"/>
    </row>
    <row r="844" spans="24:25" x14ac:dyDescent="0.25">
      <c r="X844" s="478"/>
      <c r="Y844" s="478"/>
    </row>
    <row r="845" spans="24:25" x14ac:dyDescent="0.25">
      <c r="X845" s="478"/>
      <c r="Y845" s="478"/>
    </row>
    <row r="846" spans="24:25" x14ac:dyDescent="0.25">
      <c r="X846" s="478"/>
      <c r="Y846" s="478"/>
    </row>
    <row r="847" spans="24:25" x14ac:dyDescent="0.25">
      <c r="X847" s="478"/>
      <c r="Y847" s="478"/>
    </row>
    <row r="848" spans="24:25" x14ac:dyDescent="0.25">
      <c r="X848" s="478"/>
      <c r="Y848" s="478"/>
    </row>
    <row r="849" spans="24:25" x14ac:dyDescent="0.25">
      <c r="X849" s="478"/>
      <c r="Y849" s="478"/>
    </row>
    <row r="850" spans="24:25" x14ac:dyDescent="0.25">
      <c r="X850" s="478"/>
      <c r="Y850" s="478"/>
    </row>
    <row r="851" spans="24:25" x14ac:dyDescent="0.25">
      <c r="X851" s="478"/>
      <c r="Y851" s="478"/>
    </row>
    <row r="852" spans="24:25" x14ac:dyDescent="0.25">
      <c r="X852" s="478"/>
      <c r="Y852" s="478"/>
    </row>
    <row r="853" spans="24:25" x14ac:dyDescent="0.25">
      <c r="X853" s="478"/>
      <c r="Y853" s="478"/>
    </row>
    <row r="854" spans="24:25" x14ac:dyDescent="0.25">
      <c r="X854" s="478"/>
      <c r="Y854" s="478"/>
    </row>
    <row r="855" spans="24:25" x14ac:dyDescent="0.25">
      <c r="X855" s="478"/>
      <c r="Y855" s="478"/>
    </row>
    <row r="856" spans="24:25" x14ac:dyDescent="0.25">
      <c r="X856" s="478"/>
      <c r="Y856" s="478"/>
    </row>
    <row r="857" spans="24:25" x14ac:dyDescent="0.25">
      <c r="X857" s="478"/>
      <c r="Y857" s="478"/>
    </row>
    <row r="858" spans="24:25" x14ac:dyDescent="0.25">
      <c r="X858" s="478"/>
      <c r="Y858" s="478"/>
    </row>
    <row r="859" spans="24:25" x14ac:dyDescent="0.25">
      <c r="X859" s="478"/>
      <c r="Y859" s="478"/>
    </row>
    <row r="860" spans="24:25" x14ac:dyDescent="0.25">
      <c r="X860" s="478"/>
      <c r="Y860" s="478"/>
    </row>
    <row r="861" spans="24:25" x14ac:dyDescent="0.25">
      <c r="X861" s="478"/>
      <c r="Y861" s="478"/>
    </row>
    <row r="862" spans="24:25" x14ac:dyDescent="0.25">
      <c r="X862" s="478"/>
      <c r="Y862" s="478"/>
    </row>
    <row r="863" spans="24:25" x14ac:dyDescent="0.25">
      <c r="X863" s="478"/>
      <c r="Y863" s="478"/>
    </row>
    <row r="864" spans="24:25" x14ac:dyDescent="0.25">
      <c r="X864" s="478"/>
      <c r="Y864" s="478"/>
    </row>
    <row r="865" spans="24:25" x14ac:dyDescent="0.25">
      <c r="X865" s="478"/>
      <c r="Y865" s="478"/>
    </row>
    <row r="866" spans="24:25" x14ac:dyDescent="0.25">
      <c r="X866" s="478"/>
      <c r="Y866" s="478"/>
    </row>
    <row r="867" spans="24:25" x14ac:dyDescent="0.25">
      <c r="X867" s="478"/>
      <c r="Y867" s="478"/>
    </row>
    <row r="868" spans="24:25" x14ac:dyDescent="0.25">
      <c r="X868" s="478"/>
      <c r="Y868" s="478"/>
    </row>
    <row r="869" spans="24:25" x14ac:dyDescent="0.25">
      <c r="X869" s="478"/>
      <c r="Y869" s="478"/>
    </row>
    <row r="870" spans="24:25" x14ac:dyDescent="0.25">
      <c r="X870" s="478"/>
      <c r="Y870" s="478"/>
    </row>
    <row r="871" spans="24:25" x14ac:dyDescent="0.25">
      <c r="X871" s="478"/>
      <c r="Y871" s="478"/>
    </row>
    <row r="872" spans="24:25" x14ac:dyDescent="0.25">
      <c r="X872" s="478"/>
      <c r="Y872" s="478"/>
    </row>
    <row r="873" spans="24:25" x14ac:dyDescent="0.25">
      <c r="X873" s="478"/>
      <c r="Y873" s="478"/>
    </row>
    <row r="874" spans="24:25" x14ac:dyDescent="0.25">
      <c r="X874" s="478"/>
      <c r="Y874" s="478"/>
    </row>
    <row r="875" spans="24:25" x14ac:dyDescent="0.25">
      <c r="X875" s="478"/>
      <c r="Y875" s="478"/>
    </row>
    <row r="876" spans="24:25" x14ac:dyDescent="0.25">
      <c r="X876" s="478"/>
      <c r="Y876" s="478"/>
    </row>
    <row r="877" spans="24:25" x14ac:dyDescent="0.25">
      <c r="X877" s="478"/>
      <c r="Y877" s="478"/>
    </row>
    <row r="878" spans="24:25" x14ac:dyDescent="0.25">
      <c r="X878" s="478"/>
      <c r="Y878" s="478"/>
    </row>
    <row r="879" spans="24:25" x14ac:dyDescent="0.25">
      <c r="X879" s="478"/>
      <c r="Y879" s="478"/>
    </row>
    <row r="880" spans="24:25" x14ac:dyDescent="0.25">
      <c r="X880" s="478"/>
      <c r="Y880" s="478"/>
    </row>
    <row r="881" spans="24:25" x14ac:dyDescent="0.25">
      <c r="X881" s="478"/>
      <c r="Y881" s="478"/>
    </row>
    <row r="882" spans="24:25" x14ac:dyDescent="0.25">
      <c r="X882" s="478"/>
      <c r="Y882" s="478"/>
    </row>
    <row r="883" spans="24:25" x14ac:dyDescent="0.25">
      <c r="X883" s="478"/>
      <c r="Y883" s="478"/>
    </row>
    <row r="884" spans="24:25" x14ac:dyDescent="0.25">
      <c r="X884" s="478"/>
      <c r="Y884" s="478"/>
    </row>
    <row r="885" spans="24:25" x14ac:dyDescent="0.25">
      <c r="X885" s="478"/>
      <c r="Y885" s="478"/>
    </row>
    <row r="886" spans="24:25" x14ac:dyDescent="0.25">
      <c r="X886" s="478"/>
      <c r="Y886" s="478"/>
    </row>
    <row r="887" spans="24:25" x14ac:dyDescent="0.25">
      <c r="X887" s="478"/>
      <c r="Y887" s="478"/>
    </row>
    <row r="888" spans="24:25" x14ac:dyDescent="0.25">
      <c r="X888" s="478"/>
      <c r="Y888" s="478"/>
    </row>
    <row r="889" spans="24:25" x14ac:dyDescent="0.25">
      <c r="X889" s="478"/>
      <c r="Y889" s="478"/>
    </row>
    <row r="890" spans="24:25" x14ac:dyDescent="0.25">
      <c r="X890" s="478"/>
      <c r="Y890" s="478"/>
    </row>
    <row r="891" spans="24:25" x14ac:dyDescent="0.25">
      <c r="X891" s="478"/>
      <c r="Y891" s="478"/>
    </row>
    <row r="892" spans="24:25" x14ac:dyDescent="0.25">
      <c r="X892" s="478"/>
      <c r="Y892" s="478"/>
    </row>
    <row r="893" spans="24:25" x14ac:dyDescent="0.25">
      <c r="X893" s="478"/>
      <c r="Y893" s="478"/>
    </row>
    <row r="894" spans="24:25" x14ac:dyDescent="0.25">
      <c r="X894" s="478"/>
      <c r="Y894" s="478"/>
    </row>
    <row r="895" spans="24:25" x14ac:dyDescent="0.25">
      <c r="X895" s="478"/>
      <c r="Y895" s="478"/>
    </row>
    <row r="896" spans="24:25" x14ac:dyDescent="0.25">
      <c r="X896" s="478"/>
      <c r="Y896" s="478"/>
    </row>
    <row r="897" spans="24:25" x14ac:dyDescent="0.25">
      <c r="X897" s="478"/>
      <c r="Y897" s="478"/>
    </row>
    <row r="898" spans="24:25" x14ac:dyDescent="0.25">
      <c r="X898" s="478"/>
      <c r="Y898" s="478"/>
    </row>
    <row r="899" spans="24:25" x14ac:dyDescent="0.25">
      <c r="X899" s="478"/>
      <c r="Y899" s="478"/>
    </row>
    <row r="900" spans="24:25" x14ac:dyDescent="0.25">
      <c r="X900" s="478"/>
      <c r="Y900" s="478"/>
    </row>
    <row r="901" spans="24:25" x14ac:dyDescent="0.25">
      <c r="X901" s="478"/>
      <c r="Y901" s="478"/>
    </row>
    <row r="902" spans="24:25" x14ac:dyDescent="0.25">
      <c r="X902" s="478"/>
      <c r="Y902" s="478"/>
    </row>
    <row r="903" spans="24:25" x14ac:dyDescent="0.25">
      <c r="X903" s="478"/>
      <c r="Y903" s="478"/>
    </row>
    <row r="904" spans="24:25" x14ac:dyDescent="0.25">
      <c r="X904" s="478"/>
      <c r="Y904" s="478"/>
    </row>
    <row r="905" spans="24:25" x14ac:dyDescent="0.25">
      <c r="X905" s="478"/>
      <c r="Y905" s="478"/>
    </row>
    <row r="906" spans="24:25" x14ac:dyDescent="0.25">
      <c r="X906" s="478"/>
      <c r="Y906" s="478"/>
    </row>
    <row r="907" spans="24:25" x14ac:dyDescent="0.25">
      <c r="X907" s="478"/>
      <c r="Y907" s="478"/>
    </row>
    <row r="908" spans="24:25" x14ac:dyDescent="0.25">
      <c r="X908" s="478"/>
      <c r="Y908" s="478"/>
    </row>
    <row r="909" spans="24:25" x14ac:dyDescent="0.25">
      <c r="X909" s="478"/>
      <c r="Y909" s="478"/>
    </row>
    <row r="910" spans="24:25" x14ac:dyDescent="0.25">
      <c r="X910" s="478"/>
      <c r="Y910" s="478"/>
    </row>
    <row r="911" spans="24:25" x14ac:dyDescent="0.25">
      <c r="X911" s="478"/>
      <c r="Y911" s="478"/>
    </row>
    <row r="912" spans="24:25" x14ac:dyDescent="0.25">
      <c r="X912" s="478"/>
      <c r="Y912" s="478"/>
    </row>
    <row r="913" spans="24:25" x14ac:dyDescent="0.25">
      <c r="X913" s="478"/>
      <c r="Y913" s="478"/>
    </row>
    <row r="914" spans="24:25" x14ac:dyDescent="0.25">
      <c r="X914" s="478"/>
      <c r="Y914" s="478"/>
    </row>
    <row r="915" spans="24:25" x14ac:dyDescent="0.25">
      <c r="X915" s="478"/>
      <c r="Y915" s="478"/>
    </row>
    <row r="916" spans="24:25" x14ac:dyDescent="0.25">
      <c r="X916" s="478"/>
      <c r="Y916" s="478"/>
    </row>
    <row r="917" spans="24:25" x14ac:dyDescent="0.25">
      <c r="X917" s="478"/>
      <c r="Y917" s="478"/>
    </row>
    <row r="918" spans="24:25" x14ac:dyDescent="0.25">
      <c r="X918" s="478"/>
      <c r="Y918" s="478"/>
    </row>
    <row r="919" spans="24:25" x14ac:dyDescent="0.25">
      <c r="X919" s="478"/>
      <c r="Y919" s="478"/>
    </row>
    <row r="920" spans="24:25" x14ac:dyDescent="0.25">
      <c r="X920" s="478"/>
      <c r="Y920" s="478"/>
    </row>
    <row r="921" spans="24:25" x14ac:dyDescent="0.25">
      <c r="X921" s="478"/>
      <c r="Y921" s="478"/>
    </row>
    <row r="922" spans="24:25" x14ac:dyDescent="0.25">
      <c r="X922" s="478"/>
      <c r="Y922" s="478"/>
    </row>
    <row r="923" spans="24:25" x14ac:dyDescent="0.25">
      <c r="X923" s="478"/>
      <c r="Y923" s="478"/>
    </row>
    <row r="924" spans="24:25" x14ac:dyDescent="0.25">
      <c r="X924" s="478"/>
      <c r="Y924" s="478"/>
    </row>
    <row r="925" spans="24:25" x14ac:dyDescent="0.25">
      <c r="X925" s="478"/>
      <c r="Y925" s="478"/>
    </row>
    <row r="926" spans="24:25" x14ac:dyDescent="0.25">
      <c r="X926" s="478"/>
      <c r="Y926" s="478"/>
    </row>
    <row r="927" spans="24:25" x14ac:dyDescent="0.25">
      <c r="X927" s="478"/>
      <c r="Y927" s="478"/>
    </row>
    <row r="928" spans="24:25" x14ac:dyDescent="0.25">
      <c r="X928" s="478"/>
      <c r="Y928" s="478"/>
    </row>
    <row r="929" spans="24:25" x14ac:dyDescent="0.25">
      <c r="X929" s="478"/>
      <c r="Y929" s="478"/>
    </row>
    <row r="930" spans="24:25" x14ac:dyDescent="0.25">
      <c r="X930" s="478"/>
      <c r="Y930" s="478"/>
    </row>
    <row r="931" spans="24:25" x14ac:dyDescent="0.25">
      <c r="X931" s="478"/>
      <c r="Y931" s="478"/>
    </row>
    <row r="932" spans="24:25" x14ac:dyDescent="0.25">
      <c r="X932" s="478"/>
      <c r="Y932" s="478"/>
    </row>
    <row r="933" spans="24:25" x14ac:dyDescent="0.25">
      <c r="X933" s="478"/>
      <c r="Y933" s="478"/>
    </row>
    <row r="934" spans="24:25" x14ac:dyDescent="0.25">
      <c r="X934" s="478"/>
      <c r="Y934" s="478"/>
    </row>
    <row r="935" spans="24:25" x14ac:dyDescent="0.25">
      <c r="X935" s="478"/>
      <c r="Y935" s="478"/>
    </row>
    <row r="936" spans="24:25" x14ac:dyDescent="0.25">
      <c r="X936" s="478"/>
      <c r="Y936" s="478"/>
    </row>
    <row r="937" spans="24:25" x14ac:dyDescent="0.25">
      <c r="X937" s="478"/>
      <c r="Y937" s="478"/>
    </row>
    <row r="938" spans="24:25" x14ac:dyDescent="0.25">
      <c r="X938" s="478"/>
      <c r="Y938" s="478"/>
    </row>
    <row r="939" spans="24:25" x14ac:dyDescent="0.25">
      <c r="X939" s="478"/>
      <c r="Y939" s="478"/>
    </row>
    <row r="940" spans="24:25" x14ac:dyDescent="0.25">
      <c r="X940" s="478"/>
      <c r="Y940" s="478"/>
    </row>
    <row r="941" spans="24:25" x14ac:dyDescent="0.25">
      <c r="X941" s="478"/>
      <c r="Y941" s="478"/>
    </row>
    <row r="942" spans="24:25" x14ac:dyDescent="0.25">
      <c r="X942" s="478"/>
      <c r="Y942" s="478"/>
    </row>
    <row r="943" spans="24:25" x14ac:dyDescent="0.25">
      <c r="X943" s="478"/>
      <c r="Y943" s="478"/>
    </row>
    <row r="944" spans="24:25" x14ac:dyDescent="0.25">
      <c r="X944" s="478"/>
      <c r="Y944" s="478"/>
    </row>
    <row r="945" spans="24:25" x14ac:dyDescent="0.25">
      <c r="X945" s="478"/>
      <c r="Y945" s="478"/>
    </row>
    <row r="946" spans="24:25" x14ac:dyDescent="0.25">
      <c r="X946" s="478"/>
      <c r="Y946" s="478"/>
    </row>
    <row r="947" spans="24:25" x14ac:dyDescent="0.25">
      <c r="X947" s="478"/>
      <c r="Y947" s="478"/>
    </row>
    <row r="948" spans="24:25" x14ac:dyDescent="0.25">
      <c r="X948" s="478"/>
      <c r="Y948" s="478"/>
    </row>
    <row r="949" spans="24:25" x14ac:dyDescent="0.25">
      <c r="X949" s="478"/>
      <c r="Y949" s="478"/>
    </row>
    <row r="950" spans="24:25" x14ac:dyDescent="0.25">
      <c r="X950" s="478"/>
      <c r="Y950" s="478"/>
    </row>
    <row r="951" spans="24:25" x14ac:dyDescent="0.25">
      <c r="X951" s="478"/>
      <c r="Y951" s="478"/>
    </row>
    <row r="952" spans="24:25" x14ac:dyDescent="0.25">
      <c r="X952" s="478"/>
      <c r="Y952" s="478"/>
    </row>
    <row r="953" spans="24:25" x14ac:dyDescent="0.25">
      <c r="X953" s="478"/>
      <c r="Y953" s="478"/>
    </row>
    <row r="954" spans="24:25" x14ac:dyDescent="0.25">
      <c r="X954" s="478"/>
      <c r="Y954" s="478"/>
    </row>
    <row r="955" spans="24:25" x14ac:dyDescent="0.25">
      <c r="X955" s="478"/>
      <c r="Y955" s="478"/>
    </row>
    <row r="956" spans="24:25" x14ac:dyDescent="0.25">
      <c r="X956" s="478"/>
      <c r="Y956" s="478"/>
    </row>
    <row r="957" spans="24:25" x14ac:dyDescent="0.25">
      <c r="X957" s="478"/>
      <c r="Y957" s="478"/>
    </row>
    <row r="958" spans="24:25" x14ac:dyDescent="0.25">
      <c r="X958" s="478"/>
      <c r="Y958" s="478"/>
    </row>
    <row r="959" spans="24:25" x14ac:dyDescent="0.25">
      <c r="X959" s="478"/>
      <c r="Y959" s="478"/>
    </row>
    <row r="960" spans="24:25" x14ac:dyDescent="0.25">
      <c r="X960" s="478"/>
      <c r="Y960" s="478"/>
    </row>
    <row r="961" spans="24:25" x14ac:dyDescent="0.25">
      <c r="X961" s="478"/>
      <c r="Y961" s="478"/>
    </row>
    <row r="962" spans="24:25" x14ac:dyDescent="0.25">
      <c r="X962" s="478"/>
      <c r="Y962" s="478"/>
    </row>
    <row r="963" spans="24:25" x14ac:dyDescent="0.25">
      <c r="X963" s="478"/>
      <c r="Y963" s="478"/>
    </row>
    <row r="964" spans="24:25" x14ac:dyDescent="0.25">
      <c r="X964" s="478"/>
      <c r="Y964" s="478"/>
    </row>
    <row r="965" spans="24:25" x14ac:dyDescent="0.25">
      <c r="X965" s="478"/>
      <c r="Y965" s="478"/>
    </row>
    <row r="966" spans="24:25" x14ac:dyDescent="0.25">
      <c r="X966" s="478"/>
      <c r="Y966" s="478"/>
    </row>
    <row r="967" spans="24:25" x14ac:dyDescent="0.25">
      <c r="X967" s="478"/>
      <c r="Y967" s="478"/>
    </row>
    <row r="968" spans="24:25" x14ac:dyDescent="0.25">
      <c r="X968" s="478"/>
      <c r="Y968" s="478"/>
    </row>
    <row r="969" spans="24:25" x14ac:dyDescent="0.25">
      <c r="X969" s="478"/>
      <c r="Y969" s="478"/>
    </row>
    <row r="970" spans="24:25" x14ac:dyDescent="0.25">
      <c r="X970" s="478"/>
      <c r="Y970" s="478"/>
    </row>
    <row r="971" spans="24:25" x14ac:dyDescent="0.25">
      <c r="X971" s="478"/>
      <c r="Y971" s="478"/>
    </row>
    <row r="972" spans="24:25" x14ac:dyDescent="0.25">
      <c r="X972" s="478"/>
      <c r="Y972" s="478"/>
    </row>
    <row r="973" spans="24:25" x14ac:dyDescent="0.25">
      <c r="X973" s="478"/>
      <c r="Y973" s="478"/>
    </row>
    <row r="974" spans="24:25" x14ac:dyDescent="0.25">
      <c r="X974" s="478"/>
      <c r="Y974" s="478"/>
    </row>
    <row r="975" spans="24:25" x14ac:dyDescent="0.25">
      <c r="X975" s="478"/>
      <c r="Y975" s="478"/>
    </row>
    <row r="976" spans="24:25" x14ac:dyDescent="0.25">
      <c r="X976" s="478"/>
      <c r="Y976" s="478"/>
    </row>
    <row r="977" spans="24:25" x14ac:dyDescent="0.25">
      <c r="X977" s="478"/>
      <c r="Y977" s="478"/>
    </row>
    <row r="978" spans="24:25" x14ac:dyDescent="0.25">
      <c r="X978" s="478"/>
      <c r="Y978" s="478"/>
    </row>
    <row r="979" spans="24:25" x14ac:dyDescent="0.25">
      <c r="X979" s="478"/>
      <c r="Y979" s="478"/>
    </row>
    <row r="980" spans="24:25" x14ac:dyDescent="0.25">
      <c r="X980" s="478"/>
      <c r="Y980" s="478"/>
    </row>
    <row r="981" spans="24:25" x14ac:dyDescent="0.25">
      <c r="X981" s="478"/>
      <c r="Y981" s="478"/>
    </row>
    <row r="982" spans="24:25" x14ac:dyDescent="0.25">
      <c r="X982" s="478"/>
      <c r="Y982" s="478"/>
    </row>
    <row r="983" spans="24:25" x14ac:dyDescent="0.25">
      <c r="X983" s="478"/>
      <c r="Y983" s="478"/>
    </row>
    <row r="984" spans="24:25" x14ac:dyDescent="0.25">
      <c r="X984" s="478"/>
      <c r="Y984" s="478"/>
    </row>
    <row r="985" spans="24:25" x14ac:dyDescent="0.25">
      <c r="X985" s="478"/>
      <c r="Y985" s="478"/>
    </row>
    <row r="986" spans="24:25" x14ac:dyDescent="0.25">
      <c r="X986" s="478"/>
      <c r="Y986" s="478"/>
    </row>
    <row r="987" spans="24:25" x14ac:dyDescent="0.25">
      <c r="X987" s="478"/>
      <c r="Y987" s="478"/>
    </row>
    <row r="988" spans="24:25" x14ac:dyDescent="0.25">
      <c r="X988" s="478"/>
      <c r="Y988" s="478"/>
    </row>
    <row r="989" spans="24:25" x14ac:dyDescent="0.25">
      <c r="X989" s="478"/>
      <c r="Y989" s="478"/>
    </row>
    <row r="990" spans="24:25" x14ac:dyDescent="0.25">
      <c r="X990" s="478"/>
      <c r="Y990" s="478"/>
    </row>
    <row r="991" spans="24:25" x14ac:dyDescent="0.25">
      <c r="X991" s="478"/>
      <c r="Y991" s="478"/>
    </row>
    <row r="992" spans="24:25" x14ac:dyDescent="0.25">
      <c r="X992" s="478"/>
      <c r="Y992" s="478"/>
    </row>
    <row r="993" spans="24:25" x14ac:dyDescent="0.25">
      <c r="X993" s="478"/>
      <c r="Y993" s="478"/>
    </row>
    <row r="994" spans="24:25" x14ac:dyDescent="0.25">
      <c r="X994" s="478"/>
      <c r="Y994" s="478"/>
    </row>
    <row r="995" spans="24:25" x14ac:dyDescent="0.25">
      <c r="X995" s="478"/>
      <c r="Y995" s="478"/>
    </row>
    <row r="996" spans="24:25" x14ac:dyDescent="0.25">
      <c r="X996" s="478"/>
      <c r="Y996" s="478"/>
    </row>
    <row r="997" spans="24:25" x14ac:dyDescent="0.25">
      <c r="X997" s="478"/>
      <c r="Y997" s="478"/>
    </row>
    <row r="998" spans="24:25" x14ac:dyDescent="0.25">
      <c r="X998" s="478"/>
      <c r="Y998" s="478"/>
    </row>
    <row r="999" spans="24:25" x14ac:dyDescent="0.25">
      <c r="X999" s="478"/>
      <c r="Y999" s="478"/>
    </row>
    <row r="1000" spans="24:25" x14ac:dyDescent="0.25">
      <c r="X1000" s="478"/>
      <c r="Y1000" s="478"/>
    </row>
    <row r="1001" spans="24:25" x14ac:dyDescent="0.25">
      <c r="X1001" s="478"/>
      <c r="Y1001" s="478"/>
    </row>
    <row r="1002" spans="24:25" x14ac:dyDescent="0.25">
      <c r="X1002" s="478"/>
      <c r="Y1002" s="478"/>
    </row>
    <row r="1003" spans="24:25" x14ac:dyDescent="0.25">
      <c r="X1003" s="478"/>
      <c r="Y1003" s="478"/>
    </row>
    <row r="1004" spans="24:25" x14ac:dyDescent="0.25">
      <c r="X1004" s="478"/>
      <c r="Y1004" s="478"/>
    </row>
    <row r="1005" spans="24:25" x14ac:dyDescent="0.25">
      <c r="X1005" s="478"/>
      <c r="Y1005" s="478"/>
    </row>
    <row r="1006" spans="24:25" x14ac:dyDescent="0.25">
      <c r="X1006" s="478"/>
      <c r="Y1006" s="478"/>
    </row>
    <row r="1007" spans="24:25" x14ac:dyDescent="0.25">
      <c r="X1007" s="478"/>
      <c r="Y1007" s="478"/>
    </row>
    <row r="1008" spans="24:25" x14ac:dyDescent="0.25">
      <c r="X1008" s="478"/>
      <c r="Y1008" s="478"/>
    </row>
    <row r="1009" spans="24:25" x14ac:dyDescent="0.25">
      <c r="X1009" s="478"/>
      <c r="Y1009" s="478"/>
    </row>
    <row r="1010" spans="24:25" x14ac:dyDescent="0.25">
      <c r="X1010" s="478"/>
      <c r="Y1010" s="478"/>
    </row>
    <row r="1011" spans="24:25" x14ac:dyDescent="0.25">
      <c r="X1011" s="478"/>
      <c r="Y1011" s="478"/>
    </row>
    <row r="1012" spans="24:25" x14ac:dyDescent="0.25">
      <c r="X1012" s="478"/>
      <c r="Y1012" s="478"/>
    </row>
    <row r="1013" spans="24:25" x14ac:dyDescent="0.25">
      <c r="X1013" s="478"/>
      <c r="Y1013" s="478"/>
    </row>
    <row r="1014" spans="24:25" x14ac:dyDescent="0.25">
      <c r="X1014" s="478"/>
      <c r="Y1014" s="478"/>
    </row>
    <row r="1015" spans="24:25" x14ac:dyDescent="0.25">
      <c r="X1015" s="478"/>
      <c r="Y1015" s="478"/>
    </row>
    <row r="1016" spans="24:25" x14ac:dyDescent="0.25">
      <c r="X1016" s="478"/>
      <c r="Y1016" s="478"/>
    </row>
    <row r="1017" spans="24:25" x14ac:dyDescent="0.25">
      <c r="X1017" s="478"/>
      <c r="Y1017" s="478"/>
    </row>
    <row r="1018" spans="24:25" x14ac:dyDescent="0.25">
      <c r="X1018" s="478"/>
      <c r="Y1018" s="478"/>
    </row>
    <row r="1019" spans="24:25" x14ac:dyDescent="0.25">
      <c r="X1019" s="478"/>
      <c r="Y1019" s="478"/>
    </row>
    <row r="1020" spans="24:25" x14ac:dyDescent="0.25">
      <c r="X1020" s="478"/>
      <c r="Y1020" s="478"/>
    </row>
    <row r="1021" spans="24:25" x14ac:dyDescent="0.25">
      <c r="X1021" s="478"/>
      <c r="Y1021" s="478"/>
    </row>
    <row r="1022" spans="24:25" x14ac:dyDescent="0.25">
      <c r="X1022" s="478"/>
      <c r="Y1022" s="478"/>
    </row>
    <row r="1023" spans="24:25" x14ac:dyDescent="0.25">
      <c r="X1023" s="478"/>
      <c r="Y1023" s="478"/>
    </row>
    <row r="1024" spans="24:25" x14ac:dyDescent="0.25">
      <c r="X1024" s="478"/>
      <c r="Y1024" s="478"/>
    </row>
    <row r="1025" spans="24:25" x14ac:dyDescent="0.25">
      <c r="X1025" s="478"/>
      <c r="Y1025" s="478"/>
    </row>
    <row r="1026" spans="24:25" x14ac:dyDescent="0.25">
      <c r="X1026" s="478"/>
      <c r="Y1026" s="478"/>
    </row>
    <row r="1027" spans="24:25" x14ac:dyDescent="0.25">
      <c r="X1027" s="478"/>
      <c r="Y1027" s="478"/>
    </row>
    <row r="1028" spans="24:25" x14ac:dyDescent="0.25">
      <c r="X1028" s="478"/>
      <c r="Y1028" s="478"/>
    </row>
    <row r="1029" spans="24:25" x14ac:dyDescent="0.25">
      <c r="X1029" s="478"/>
      <c r="Y1029" s="478"/>
    </row>
    <row r="1030" spans="24:25" x14ac:dyDescent="0.25">
      <c r="X1030" s="478"/>
      <c r="Y1030" s="478"/>
    </row>
    <row r="1031" spans="24:25" x14ac:dyDescent="0.25">
      <c r="X1031" s="478"/>
      <c r="Y1031" s="478"/>
    </row>
    <row r="1032" spans="24:25" x14ac:dyDescent="0.25">
      <c r="X1032" s="478"/>
      <c r="Y1032" s="478"/>
    </row>
    <row r="1033" spans="24:25" x14ac:dyDescent="0.25">
      <c r="X1033" s="478"/>
      <c r="Y1033" s="478"/>
    </row>
    <row r="1034" spans="24:25" x14ac:dyDescent="0.25">
      <c r="X1034" s="478"/>
      <c r="Y1034" s="478"/>
    </row>
    <row r="1035" spans="24:25" x14ac:dyDescent="0.25">
      <c r="X1035" s="478"/>
      <c r="Y1035" s="478"/>
    </row>
    <row r="1036" spans="24:25" x14ac:dyDescent="0.25">
      <c r="X1036" s="478"/>
      <c r="Y1036" s="478"/>
    </row>
    <row r="1037" spans="24:25" x14ac:dyDescent="0.25">
      <c r="X1037" s="478"/>
      <c r="Y1037" s="478"/>
    </row>
    <row r="1038" spans="24:25" x14ac:dyDescent="0.25">
      <c r="X1038" s="478"/>
      <c r="Y1038" s="478"/>
    </row>
    <row r="1039" spans="24:25" x14ac:dyDescent="0.25">
      <c r="X1039" s="478"/>
      <c r="Y1039" s="478"/>
    </row>
    <row r="1040" spans="24:25" x14ac:dyDescent="0.25">
      <c r="X1040" s="478"/>
      <c r="Y1040" s="478"/>
    </row>
    <row r="1041" spans="24:25" x14ac:dyDescent="0.25">
      <c r="X1041" s="478"/>
      <c r="Y1041" s="478"/>
    </row>
    <row r="1042" spans="24:25" x14ac:dyDescent="0.25">
      <c r="X1042" s="478"/>
      <c r="Y1042" s="478"/>
    </row>
    <row r="1043" spans="24:25" x14ac:dyDescent="0.25">
      <c r="X1043" s="478"/>
      <c r="Y1043" s="478"/>
    </row>
    <row r="1044" spans="24:25" x14ac:dyDescent="0.25">
      <c r="X1044" s="478"/>
      <c r="Y1044" s="478"/>
    </row>
    <row r="1045" spans="24:25" x14ac:dyDescent="0.25">
      <c r="X1045" s="478"/>
      <c r="Y1045" s="478"/>
    </row>
    <row r="1046" spans="24:25" x14ac:dyDescent="0.25">
      <c r="X1046" s="478"/>
      <c r="Y1046" s="478"/>
    </row>
    <row r="1047" spans="24:25" x14ac:dyDescent="0.25">
      <c r="X1047" s="478"/>
      <c r="Y1047" s="478"/>
    </row>
    <row r="1048" spans="24:25" x14ac:dyDescent="0.25">
      <c r="X1048" s="478"/>
      <c r="Y1048" s="478"/>
    </row>
    <row r="1049" spans="24:25" x14ac:dyDescent="0.25">
      <c r="X1049" s="478"/>
      <c r="Y1049" s="478"/>
    </row>
    <row r="1050" spans="24:25" x14ac:dyDescent="0.25">
      <c r="X1050" s="478"/>
      <c r="Y1050" s="478"/>
    </row>
    <row r="1051" spans="24:25" x14ac:dyDescent="0.25">
      <c r="X1051" s="478"/>
      <c r="Y1051" s="478"/>
    </row>
    <row r="1052" spans="24:25" x14ac:dyDescent="0.25">
      <c r="X1052" s="478"/>
      <c r="Y1052" s="478"/>
    </row>
    <row r="1053" spans="24:25" x14ac:dyDescent="0.25">
      <c r="X1053" s="478"/>
      <c r="Y1053" s="478"/>
    </row>
    <row r="1054" spans="24:25" x14ac:dyDescent="0.25">
      <c r="X1054" s="478"/>
      <c r="Y1054" s="478"/>
    </row>
    <row r="1055" spans="24:25" x14ac:dyDescent="0.25">
      <c r="X1055" s="478"/>
      <c r="Y1055" s="478"/>
    </row>
    <row r="1056" spans="24:25" x14ac:dyDescent="0.25">
      <c r="X1056" s="478"/>
      <c r="Y1056" s="478"/>
    </row>
    <row r="1057" spans="24:25" x14ac:dyDescent="0.25">
      <c r="X1057" s="478"/>
      <c r="Y1057" s="478"/>
    </row>
    <row r="1058" spans="24:25" x14ac:dyDescent="0.25">
      <c r="X1058" s="478"/>
      <c r="Y1058" s="478"/>
    </row>
    <row r="1059" spans="24:25" x14ac:dyDescent="0.25">
      <c r="X1059" s="478"/>
      <c r="Y1059" s="478"/>
    </row>
    <row r="1060" spans="24:25" x14ac:dyDescent="0.25">
      <c r="X1060" s="478"/>
      <c r="Y1060" s="478"/>
    </row>
    <row r="1061" spans="24:25" x14ac:dyDescent="0.25">
      <c r="X1061" s="478"/>
      <c r="Y1061" s="478"/>
    </row>
    <row r="1062" spans="24:25" x14ac:dyDescent="0.25">
      <c r="X1062" s="478"/>
      <c r="Y1062" s="478"/>
    </row>
    <row r="1063" spans="24:25" x14ac:dyDescent="0.25">
      <c r="X1063" s="478"/>
      <c r="Y1063" s="478"/>
    </row>
    <row r="1064" spans="24:25" x14ac:dyDescent="0.25">
      <c r="X1064" s="478"/>
      <c r="Y1064" s="478"/>
    </row>
    <row r="1065" spans="24:25" x14ac:dyDescent="0.25">
      <c r="X1065" s="478"/>
      <c r="Y1065" s="478"/>
    </row>
    <row r="1066" spans="24:25" x14ac:dyDescent="0.25">
      <c r="X1066" s="478"/>
      <c r="Y1066" s="478"/>
    </row>
    <row r="1067" spans="24:25" x14ac:dyDescent="0.25">
      <c r="X1067" s="478"/>
      <c r="Y1067" s="478"/>
    </row>
    <row r="1068" spans="24:25" x14ac:dyDescent="0.25">
      <c r="X1068" s="478"/>
      <c r="Y1068" s="478"/>
    </row>
    <row r="1069" spans="24:25" x14ac:dyDescent="0.25">
      <c r="X1069" s="478"/>
      <c r="Y1069" s="478"/>
    </row>
    <row r="1070" spans="24:25" x14ac:dyDescent="0.25">
      <c r="X1070" s="478"/>
      <c r="Y1070" s="478"/>
    </row>
    <row r="1071" spans="24:25" x14ac:dyDescent="0.25">
      <c r="X1071" s="478"/>
      <c r="Y1071" s="478"/>
    </row>
    <row r="1072" spans="24:25" x14ac:dyDescent="0.25">
      <c r="X1072" s="478"/>
      <c r="Y1072" s="478"/>
    </row>
    <row r="1073" spans="24:25" x14ac:dyDescent="0.25">
      <c r="X1073" s="478"/>
      <c r="Y1073" s="478"/>
    </row>
    <row r="1074" spans="24:25" x14ac:dyDescent="0.25">
      <c r="X1074" s="478"/>
      <c r="Y1074" s="478"/>
    </row>
    <row r="1075" spans="24:25" x14ac:dyDescent="0.25">
      <c r="X1075" s="478"/>
      <c r="Y1075" s="478"/>
    </row>
    <row r="1076" spans="24:25" x14ac:dyDescent="0.25">
      <c r="X1076" s="478"/>
      <c r="Y1076" s="478"/>
    </row>
    <row r="1077" spans="24:25" x14ac:dyDescent="0.25">
      <c r="X1077" s="478"/>
      <c r="Y1077" s="478"/>
    </row>
    <row r="1078" spans="24:25" x14ac:dyDescent="0.25">
      <c r="X1078" s="478"/>
      <c r="Y1078" s="478"/>
    </row>
    <row r="1079" spans="24:25" x14ac:dyDescent="0.25">
      <c r="X1079" s="478"/>
      <c r="Y1079" s="478"/>
    </row>
    <row r="1080" spans="24:25" x14ac:dyDescent="0.25">
      <c r="X1080" s="478"/>
      <c r="Y1080" s="478"/>
    </row>
    <row r="1081" spans="24:25" x14ac:dyDescent="0.25">
      <c r="X1081" s="478"/>
      <c r="Y1081" s="478"/>
    </row>
    <row r="1082" spans="24:25" x14ac:dyDescent="0.25">
      <c r="X1082" s="478"/>
      <c r="Y1082" s="478"/>
    </row>
    <row r="1083" spans="24:25" x14ac:dyDescent="0.25">
      <c r="X1083" s="478"/>
      <c r="Y1083" s="478"/>
    </row>
    <row r="1084" spans="24:25" x14ac:dyDescent="0.25">
      <c r="X1084" s="478"/>
      <c r="Y1084" s="478"/>
    </row>
    <row r="1085" spans="24:25" x14ac:dyDescent="0.25">
      <c r="X1085" s="478"/>
      <c r="Y1085" s="478"/>
    </row>
    <row r="1086" spans="24:25" x14ac:dyDescent="0.25">
      <c r="X1086" s="478"/>
      <c r="Y1086" s="478"/>
    </row>
    <row r="1087" spans="24:25" x14ac:dyDescent="0.25">
      <c r="X1087" s="478"/>
      <c r="Y1087" s="478"/>
    </row>
    <row r="1088" spans="24:25" x14ac:dyDescent="0.25">
      <c r="X1088" s="478"/>
      <c r="Y1088" s="478"/>
    </row>
    <row r="1089" spans="24:25" x14ac:dyDescent="0.25">
      <c r="X1089" s="478"/>
      <c r="Y1089" s="478"/>
    </row>
    <row r="1090" spans="24:25" x14ac:dyDescent="0.25">
      <c r="X1090" s="478"/>
      <c r="Y1090" s="478"/>
    </row>
    <row r="1091" spans="24:25" x14ac:dyDescent="0.25">
      <c r="X1091" s="478"/>
      <c r="Y1091" s="478"/>
    </row>
    <row r="1092" spans="24:25" x14ac:dyDescent="0.25">
      <c r="X1092" s="478"/>
      <c r="Y1092" s="478"/>
    </row>
    <row r="1093" spans="24:25" x14ac:dyDescent="0.25">
      <c r="X1093" s="478"/>
      <c r="Y1093" s="478"/>
    </row>
    <row r="1094" spans="24:25" x14ac:dyDescent="0.25">
      <c r="X1094" s="478"/>
      <c r="Y1094" s="478"/>
    </row>
    <row r="1095" spans="24:25" x14ac:dyDescent="0.25">
      <c r="X1095" s="478"/>
      <c r="Y1095" s="478"/>
    </row>
    <row r="1096" spans="24:25" x14ac:dyDescent="0.25">
      <c r="X1096" s="478"/>
      <c r="Y1096" s="478"/>
    </row>
    <row r="1097" spans="24:25" x14ac:dyDescent="0.25">
      <c r="X1097" s="478"/>
      <c r="Y1097" s="478"/>
    </row>
    <row r="1098" spans="24:25" x14ac:dyDescent="0.25">
      <c r="X1098" s="478"/>
      <c r="Y1098" s="478"/>
    </row>
    <row r="1099" spans="24:25" x14ac:dyDescent="0.25">
      <c r="X1099" s="478"/>
      <c r="Y1099" s="478"/>
    </row>
    <row r="1100" spans="24:25" x14ac:dyDescent="0.25">
      <c r="X1100" s="478"/>
      <c r="Y1100" s="478"/>
    </row>
    <row r="1101" spans="24:25" x14ac:dyDescent="0.25">
      <c r="X1101" s="478"/>
      <c r="Y1101" s="478"/>
    </row>
    <row r="1102" spans="24:25" x14ac:dyDescent="0.25">
      <c r="X1102" s="478"/>
      <c r="Y1102" s="478"/>
    </row>
    <row r="1103" spans="24:25" x14ac:dyDescent="0.25">
      <c r="X1103" s="478"/>
      <c r="Y1103" s="478"/>
    </row>
    <row r="1104" spans="24:25" x14ac:dyDescent="0.25">
      <c r="X1104" s="478"/>
      <c r="Y1104" s="478"/>
    </row>
    <row r="1105" spans="24:25" x14ac:dyDescent="0.25">
      <c r="X1105" s="478"/>
      <c r="Y1105" s="478"/>
    </row>
    <row r="1106" spans="24:25" x14ac:dyDescent="0.25">
      <c r="X1106" s="478"/>
      <c r="Y1106" s="478"/>
    </row>
    <row r="1107" spans="24:25" x14ac:dyDescent="0.25">
      <c r="X1107" s="478"/>
      <c r="Y1107" s="478"/>
    </row>
    <row r="1108" spans="24:25" x14ac:dyDescent="0.25">
      <c r="X1108" s="478"/>
      <c r="Y1108" s="478"/>
    </row>
    <row r="1109" spans="24:25" x14ac:dyDescent="0.25">
      <c r="X1109" s="478"/>
      <c r="Y1109" s="478"/>
    </row>
    <row r="1110" spans="24:25" x14ac:dyDescent="0.25">
      <c r="X1110" s="478"/>
      <c r="Y1110" s="478"/>
    </row>
    <row r="1111" spans="24:25" x14ac:dyDescent="0.25">
      <c r="X1111" s="478"/>
      <c r="Y1111" s="478"/>
    </row>
    <row r="1112" spans="24:25" x14ac:dyDescent="0.25">
      <c r="X1112" s="478"/>
      <c r="Y1112" s="478"/>
    </row>
    <row r="1113" spans="24:25" x14ac:dyDescent="0.25">
      <c r="X1113" s="478"/>
      <c r="Y1113" s="478"/>
    </row>
    <row r="1114" spans="24:25" x14ac:dyDescent="0.25">
      <c r="X1114" s="478"/>
      <c r="Y1114" s="478"/>
    </row>
    <row r="1115" spans="24:25" x14ac:dyDescent="0.25">
      <c r="X1115" s="478"/>
      <c r="Y1115" s="478"/>
    </row>
    <row r="1116" spans="24:25" x14ac:dyDescent="0.25">
      <c r="X1116" s="478"/>
      <c r="Y1116" s="478"/>
    </row>
    <row r="1117" spans="24:25" x14ac:dyDescent="0.25">
      <c r="X1117" s="478"/>
      <c r="Y1117" s="478"/>
    </row>
    <row r="1118" spans="24:25" x14ac:dyDescent="0.25">
      <c r="X1118" s="478"/>
      <c r="Y1118" s="478"/>
    </row>
    <row r="1119" spans="24:25" x14ac:dyDescent="0.25">
      <c r="X1119" s="478"/>
      <c r="Y1119" s="478"/>
    </row>
    <row r="1120" spans="24:25" x14ac:dyDescent="0.25">
      <c r="X1120" s="478"/>
      <c r="Y1120" s="478"/>
    </row>
    <row r="1121" spans="24:25" x14ac:dyDescent="0.25">
      <c r="X1121" s="478"/>
      <c r="Y1121" s="478"/>
    </row>
    <row r="1122" spans="24:25" x14ac:dyDescent="0.25">
      <c r="X1122" s="478"/>
      <c r="Y1122" s="478"/>
    </row>
    <row r="1123" spans="24:25" x14ac:dyDescent="0.25">
      <c r="X1123" s="478"/>
      <c r="Y1123" s="478"/>
    </row>
    <row r="1124" spans="24:25" x14ac:dyDescent="0.25">
      <c r="X1124" s="478"/>
      <c r="Y1124" s="478"/>
    </row>
    <row r="1125" spans="24:25" x14ac:dyDescent="0.25">
      <c r="X1125" s="478"/>
      <c r="Y1125" s="478"/>
    </row>
    <row r="1126" spans="24:25" x14ac:dyDescent="0.25">
      <c r="X1126" s="478"/>
      <c r="Y1126" s="478"/>
    </row>
    <row r="1127" spans="24:25" x14ac:dyDescent="0.25">
      <c r="X1127" s="478"/>
      <c r="Y1127" s="478"/>
    </row>
    <row r="1128" spans="24:25" x14ac:dyDescent="0.25">
      <c r="X1128" s="478"/>
      <c r="Y1128" s="478"/>
    </row>
    <row r="1129" spans="24:25" x14ac:dyDescent="0.25">
      <c r="X1129" s="478"/>
      <c r="Y1129" s="478"/>
    </row>
    <row r="1130" spans="24:25" x14ac:dyDescent="0.25">
      <c r="X1130" s="478"/>
      <c r="Y1130" s="478"/>
    </row>
    <row r="1131" spans="24:25" x14ac:dyDescent="0.25">
      <c r="X1131" s="478"/>
      <c r="Y1131" s="478"/>
    </row>
    <row r="1132" spans="24:25" x14ac:dyDescent="0.25">
      <c r="X1132" s="478"/>
      <c r="Y1132" s="478"/>
    </row>
    <row r="1133" spans="24:25" x14ac:dyDescent="0.25">
      <c r="X1133" s="478"/>
      <c r="Y1133" s="478"/>
    </row>
    <row r="1134" spans="24:25" x14ac:dyDescent="0.25">
      <c r="X1134" s="478"/>
      <c r="Y1134" s="478"/>
    </row>
    <row r="1135" spans="24:25" x14ac:dyDescent="0.25">
      <c r="X1135" s="478"/>
      <c r="Y1135" s="478"/>
    </row>
    <row r="1136" spans="24:25" x14ac:dyDescent="0.25">
      <c r="X1136" s="478"/>
      <c r="Y1136" s="478"/>
    </row>
    <row r="1137" spans="24:25" x14ac:dyDescent="0.25">
      <c r="X1137" s="478"/>
      <c r="Y1137" s="478"/>
    </row>
    <row r="1138" spans="24:25" x14ac:dyDescent="0.25">
      <c r="X1138" s="478"/>
      <c r="Y1138" s="478"/>
    </row>
    <row r="1139" spans="24:25" x14ac:dyDescent="0.25">
      <c r="X1139" s="478"/>
      <c r="Y1139" s="478"/>
    </row>
    <row r="1140" spans="24:25" x14ac:dyDescent="0.25">
      <c r="X1140" s="478"/>
      <c r="Y1140" s="478"/>
    </row>
    <row r="1141" spans="24:25" x14ac:dyDescent="0.25">
      <c r="X1141" s="478"/>
      <c r="Y1141" s="478"/>
    </row>
    <row r="1142" spans="24:25" x14ac:dyDescent="0.25">
      <c r="X1142" s="478"/>
      <c r="Y1142" s="478"/>
    </row>
    <row r="1143" spans="24:25" x14ac:dyDescent="0.25">
      <c r="X1143" s="478"/>
      <c r="Y1143" s="478"/>
    </row>
    <row r="1144" spans="24:25" x14ac:dyDescent="0.25">
      <c r="X1144" s="478"/>
      <c r="Y1144" s="478"/>
    </row>
    <row r="1145" spans="24:25" x14ac:dyDescent="0.25">
      <c r="X1145" s="478"/>
      <c r="Y1145" s="478"/>
    </row>
    <row r="1146" spans="24:25" x14ac:dyDescent="0.25">
      <c r="X1146" s="478"/>
      <c r="Y1146" s="478"/>
    </row>
    <row r="1147" spans="24:25" x14ac:dyDescent="0.25">
      <c r="X1147" s="478"/>
      <c r="Y1147" s="478"/>
    </row>
    <row r="1148" spans="24:25" x14ac:dyDescent="0.25">
      <c r="X1148" s="478"/>
      <c r="Y1148" s="478"/>
    </row>
    <row r="1149" spans="24:25" x14ac:dyDescent="0.25">
      <c r="X1149" s="478"/>
      <c r="Y1149" s="478"/>
    </row>
    <row r="1150" spans="24:25" x14ac:dyDescent="0.25">
      <c r="X1150" s="478"/>
      <c r="Y1150" s="478"/>
    </row>
    <row r="1151" spans="24:25" x14ac:dyDescent="0.25">
      <c r="X1151" s="478"/>
      <c r="Y1151" s="478"/>
    </row>
    <row r="1152" spans="24:25" x14ac:dyDescent="0.25">
      <c r="X1152" s="478"/>
      <c r="Y1152" s="478"/>
    </row>
    <row r="1153" spans="24:25" x14ac:dyDescent="0.25">
      <c r="X1153" s="478"/>
      <c r="Y1153" s="478"/>
    </row>
    <row r="1154" spans="24:25" x14ac:dyDescent="0.25">
      <c r="X1154" s="478"/>
      <c r="Y1154" s="478"/>
    </row>
    <row r="1155" spans="24:25" x14ac:dyDescent="0.25">
      <c r="X1155" s="478"/>
      <c r="Y1155" s="478"/>
    </row>
    <row r="1156" spans="24:25" x14ac:dyDescent="0.25">
      <c r="X1156" s="478"/>
      <c r="Y1156" s="478"/>
    </row>
    <row r="1157" spans="24:25" x14ac:dyDescent="0.25">
      <c r="X1157" s="478"/>
      <c r="Y1157" s="478"/>
    </row>
    <row r="1158" spans="24:25" x14ac:dyDescent="0.25">
      <c r="X1158" s="478"/>
      <c r="Y1158" s="478"/>
    </row>
    <row r="1159" spans="24:25" x14ac:dyDescent="0.25">
      <c r="X1159" s="478"/>
      <c r="Y1159" s="478"/>
    </row>
    <row r="1160" spans="24:25" x14ac:dyDescent="0.25">
      <c r="X1160" s="478"/>
      <c r="Y1160" s="478"/>
    </row>
    <row r="1161" spans="24:25" x14ac:dyDescent="0.25">
      <c r="X1161" s="478"/>
      <c r="Y1161" s="478"/>
    </row>
    <row r="1162" spans="24:25" x14ac:dyDescent="0.25">
      <c r="X1162" s="478"/>
      <c r="Y1162" s="478"/>
    </row>
    <row r="1163" spans="24:25" x14ac:dyDescent="0.25">
      <c r="X1163" s="478"/>
      <c r="Y1163" s="478"/>
    </row>
    <row r="1164" spans="24:25" x14ac:dyDescent="0.25">
      <c r="X1164" s="478"/>
      <c r="Y1164" s="478"/>
    </row>
    <row r="1165" spans="24:25" x14ac:dyDescent="0.25">
      <c r="X1165" s="478"/>
      <c r="Y1165" s="478"/>
    </row>
    <row r="1166" spans="24:25" x14ac:dyDescent="0.25">
      <c r="X1166" s="478"/>
      <c r="Y1166" s="478"/>
    </row>
    <row r="1167" spans="24:25" x14ac:dyDescent="0.25">
      <c r="X1167" s="478"/>
      <c r="Y1167" s="478"/>
    </row>
    <row r="1168" spans="24:25" x14ac:dyDescent="0.25">
      <c r="X1168" s="478"/>
      <c r="Y1168" s="478"/>
    </row>
    <row r="1169" spans="24:25" x14ac:dyDescent="0.25">
      <c r="X1169" s="478"/>
      <c r="Y1169" s="478"/>
    </row>
    <row r="1170" spans="24:25" x14ac:dyDescent="0.25">
      <c r="X1170" s="478"/>
      <c r="Y1170" s="478"/>
    </row>
    <row r="1171" spans="24:25" x14ac:dyDescent="0.25">
      <c r="X1171" s="478"/>
      <c r="Y1171" s="478"/>
    </row>
    <row r="1172" spans="24:25" x14ac:dyDescent="0.25">
      <c r="X1172" s="478"/>
      <c r="Y1172" s="478"/>
    </row>
    <row r="1173" spans="24:25" x14ac:dyDescent="0.25">
      <c r="X1173" s="478"/>
      <c r="Y1173" s="478"/>
    </row>
    <row r="1174" spans="24:25" x14ac:dyDescent="0.25">
      <c r="X1174" s="478"/>
      <c r="Y1174" s="478"/>
    </row>
    <row r="1175" spans="24:25" x14ac:dyDescent="0.25">
      <c r="X1175" s="478"/>
      <c r="Y1175" s="478"/>
    </row>
    <row r="1176" spans="24:25" x14ac:dyDescent="0.25">
      <c r="X1176" s="478"/>
      <c r="Y1176" s="478"/>
    </row>
    <row r="1177" spans="24:25" x14ac:dyDescent="0.25">
      <c r="X1177" s="478"/>
      <c r="Y1177" s="478"/>
    </row>
    <row r="1178" spans="24:25" x14ac:dyDescent="0.25">
      <c r="X1178" s="478"/>
      <c r="Y1178" s="478"/>
    </row>
    <row r="1179" spans="24:25" x14ac:dyDescent="0.25">
      <c r="X1179" s="478"/>
      <c r="Y1179" s="478"/>
    </row>
    <row r="1180" spans="24:25" x14ac:dyDescent="0.25">
      <c r="X1180" s="478"/>
      <c r="Y1180" s="478"/>
    </row>
    <row r="1181" spans="24:25" x14ac:dyDescent="0.25">
      <c r="X1181" s="478"/>
      <c r="Y1181" s="478"/>
    </row>
    <row r="1182" spans="24:25" x14ac:dyDescent="0.25">
      <c r="X1182" s="478"/>
      <c r="Y1182" s="478"/>
    </row>
    <row r="1183" spans="24:25" x14ac:dyDescent="0.25">
      <c r="X1183" s="478"/>
      <c r="Y1183" s="478"/>
    </row>
    <row r="1184" spans="24:25" x14ac:dyDescent="0.25">
      <c r="X1184" s="478"/>
      <c r="Y1184" s="478"/>
    </row>
    <row r="1185" spans="24:25" x14ac:dyDescent="0.25">
      <c r="X1185" s="478"/>
      <c r="Y1185" s="478"/>
    </row>
    <row r="1186" spans="24:25" x14ac:dyDescent="0.25">
      <c r="X1186" s="478"/>
      <c r="Y1186" s="478"/>
    </row>
    <row r="1187" spans="24:25" x14ac:dyDescent="0.25">
      <c r="X1187" s="478"/>
      <c r="Y1187" s="478"/>
    </row>
    <row r="1188" spans="24:25" x14ac:dyDescent="0.25">
      <c r="X1188" s="478"/>
      <c r="Y1188" s="478"/>
    </row>
    <row r="1189" spans="24:25" x14ac:dyDescent="0.25">
      <c r="X1189" s="478"/>
      <c r="Y1189" s="478"/>
    </row>
    <row r="1190" spans="24:25" x14ac:dyDescent="0.25">
      <c r="X1190" s="478"/>
      <c r="Y1190" s="478"/>
    </row>
    <row r="1191" spans="24:25" x14ac:dyDescent="0.25">
      <c r="X1191" s="478"/>
      <c r="Y1191" s="478"/>
    </row>
    <row r="1192" spans="24:25" x14ac:dyDescent="0.25">
      <c r="X1192" s="478"/>
      <c r="Y1192" s="478"/>
    </row>
    <row r="1193" spans="24:25" x14ac:dyDescent="0.25">
      <c r="X1193" s="478"/>
      <c r="Y1193" s="478"/>
    </row>
    <row r="1194" spans="24:25" x14ac:dyDescent="0.25">
      <c r="X1194" s="478"/>
      <c r="Y1194" s="478"/>
    </row>
    <row r="1195" spans="24:25" x14ac:dyDescent="0.25">
      <c r="X1195" s="478"/>
      <c r="Y1195" s="478"/>
    </row>
    <row r="1196" spans="24:25" x14ac:dyDescent="0.25">
      <c r="X1196" s="478"/>
      <c r="Y1196" s="478"/>
    </row>
    <row r="1197" spans="24:25" x14ac:dyDescent="0.25">
      <c r="X1197" s="478"/>
      <c r="Y1197" s="478"/>
    </row>
    <row r="1198" spans="24:25" x14ac:dyDescent="0.25">
      <c r="X1198" s="478"/>
      <c r="Y1198" s="478"/>
    </row>
    <row r="1199" spans="24:25" x14ac:dyDescent="0.25">
      <c r="X1199" s="478"/>
      <c r="Y1199" s="478"/>
    </row>
    <row r="1200" spans="24:25" x14ac:dyDescent="0.25">
      <c r="X1200" s="478"/>
      <c r="Y1200" s="478"/>
    </row>
    <row r="1201" spans="24:25" x14ac:dyDescent="0.25">
      <c r="X1201" s="478"/>
      <c r="Y1201" s="478"/>
    </row>
    <row r="1202" spans="24:25" x14ac:dyDescent="0.25">
      <c r="X1202" s="478"/>
      <c r="Y1202" s="478"/>
    </row>
    <row r="1203" spans="24:25" x14ac:dyDescent="0.25">
      <c r="X1203" s="478"/>
      <c r="Y1203" s="478"/>
    </row>
    <row r="1204" spans="24:25" x14ac:dyDescent="0.25">
      <c r="X1204" s="478"/>
      <c r="Y1204" s="478"/>
    </row>
    <row r="1205" spans="24:25" x14ac:dyDescent="0.25">
      <c r="X1205" s="478"/>
      <c r="Y1205" s="478"/>
    </row>
    <row r="1206" spans="24:25" x14ac:dyDescent="0.25">
      <c r="X1206" s="478"/>
      <c r="Y1206" s="478"/>
    </row>
    <row r="1207" spans="24:25" x14ac:dyDescent="0.25">
      <c r="X1207" s="478"/>
      <c r="Y1207" s="478"/>
    </row>
    <row r="1208" spans="24:25" x14ac:dyDescent="0.25">
      <c r="X1208" s="478"/>
      <c r="Y1208" s="478"/>
    </row>
    <row r="1209" spans="24:25" x14ac:dyDescent="0.25">
      <c r="X1209" s="478"/>
      <c r="Y1209" s="478"/>
    </row>
    <row r="1210" spans="24:25" x14ac:dyDescent="0.25">
      <c r="X1210" s="478"/>
      <c r="Y1210" s="478"/>
    </row>
    <row r="1211" spans="24:25" x14ac:dyDescent="0.25">
      <c r="X1211" s="478"/>
      <c r="Y1211" s="478"/>
    </row>
    <row r="1212" spans="24:25" x14ac:dyDescent="0.25">
      <c r="X1212" s="478"/>
      <c r="Y1212" s="478"/>
    </row>
    <row r="1213" spans="24:25" x14ac:dyDescent="0.25">
      <c r="X1213" s="478"/>
      <c r="Y1213" s="478"/>
    </row>
    <row r="1214" spans="24:25" x14ac:dyDescent="0.25">
      <c r="X1214" s="478"/>
      <c r="Y1214" s="478"/>
    </row>
    <row r="1215" spans="24:25" x14ac:dyDescent="0.25">
      <c r="X1215" s="478"/>
      <c r="Y1215" s="478"/>
    </row>
    <row r="1216" spans="24:25" x14ac:dyDescent="0.25">
      <c r="X1216" s="478"/>
      <c r="Y1216" s="478"/>
    </row>
    <row r="1217" spans="24:25" x14ac:dyDescent="0.25">
      <c r="X1217" s="478"/>
      <c r="Y1217" s="478"/>
    </row>
    <row r="1218" spans="24:25" x14ac:dyDescent="0.25">
      <c r="X1218" s="478"/>
      <c r="Y1218" s="478"/>
    </row>
    <row r="1219" spans="24:25" x14ac:dyDescent="0.25">
      <c r="X1219" s="478"/>
      <c r="Y1219" s="478"/>
    </row>
    <row r="1220" spans="24:25" x14ac:dyDescent="0.25">
      <c r="X1220" s="478"/>
      <c r="Y1220" s="478"/>
    </row>
    <row r="1221" spans="24:25" x14ac:dyDescent="0.25">
      <c r="X1221" s="478"/>
      <c r="Y1221" s="478"/>
    </row>
    <row r="1222" spans="24:25" x14ac:dyDescent="0.25">
      <c r="X1222" s="478"/>
      <c r="Y1222" s="478"/>
    </row>
    <row r="1223" spans="24:25" x14ac:dyDescent="0.25">
      <c r="X1223" s="478"/>
      <c r="Y1223" s="478"/>
    </row>
    <row r="1224" spans="24:25" x14ac:dyDescent="0.25">
      <c r="X1224" s="478"/>
      <c r="Y1224" s="478"/>
    </row>
    <row r="1225" spans="24:25" x14ac:dyDescent="0.25">
      <c r="X1225" s="478"/>
      <c r="Y1225" s="478"/>
    </row>
    <row r="1226" spans="24:25" x14ac:dyDescent="0.25">
      <c r="X1226" s="478"/>
      <c r="Y1226" s="478"/>
    </row>
    <row r="1227" spans="24:25" x14ac:dyDescent="0.25">
      <c r="X1227" s="478"/>
      <c r="Y1227" s="478"/>
    </row>
    <row r="1228" spans="24:25" x14ac:dyDescent="0.25">
      <c r="X1228" s="478"/>
      <c r="Y1228" s="478"/>
    </row>
    <row r="1229" spans="24:25" x14ac:dyDescent="0.25">
      <c r="X1229" s="478"/>
      <c r="Y1229" s="478"/>
    </row>
    <row r="1230" spans="24:25" x14ac:dyDescent="0.25">
      <c r="X1230" s="478"/>
      <c r="Y1230" s="478"/>
    </row>
    <row r="1231" spans="24:25" x14ac:dyDescent="0.25">
      <c r="X1231" s="478"/>
      <c r="Y1231" s="478"/>
    </row>
    <row r="1232" spans="24:25" x14ac:dyDescent="0.25">
      <c r="X1232" s="478"/>
      <c r="Y1232" s="478"/>
    </row>
    <row r="1233" spans="24:25" x14ac:dyDescent="0.25">
      <c r="X1233" s="478"/>
      <c r="Y1233" s="478"/>
    </row>
    <row r="1234" spans="24:25" x14ac:dyDescent="0.25">
      <c r="X1234" s="478"/>
      <c r="Y1234" s="478"/>
    </row>
    <row r="1235" spans="24:25" x14ac:dyDescent="0.25">
      <c r="X1235" s="478"/>
      <c r="Y1235" s="478"/>
    </row>
    <row r="1236" spans="24:25" x14ac:dyDescent="0.25">
      <c r="X1236" s="478"/>
      <c r="Y1236" s="478"/>
    </row>
    <row r="1237" spans="24:25" x14ac:dyDescent="0.25">
      <c r="X1237" s="478"/>
      <c r="Y1237" s="478"/>
    </row>
    <row r="1238" spans="24:25" x14ac:dyDescent="0.25">
      <c r="X1238" s="478"/>
      <c r="Y1238" s="478"/>
    </row>
    <row r="1239" spans="24:25" x14ac:dyDescent="0.25">
      <c r="X1239" s="478"/>
      <c r="Y1239" s="478"/>
    </row>
    <row r="1240" spans="24:25" x14ac:dyDescent="0.25">
      <c r="X1240" s="478"/>
      <c r="Y1240" s="478"/>
    </row>
    <row r="1241" spans="24:25" x14ac:dyDescent="0.25">
      <c r="X1241" s="478"/>
      <c r="Y1241" s="478"/>
    </row>
    <row r="1242" spans="24:25" x14ac:dyDescent="0.25">
      <c r="X1242" s="478"/>
      <c r="Y1242" s="478"/>
    </row>
    <row r="1243" spans="24:25" x14ac:dyDescent="0.25">
      <c r="X1243" s="478"/>
      <c r="Y1243" s="478"/>
    </row>
    <row r="1244" spans="24:25" x14ac:dyDescent="0.25">
      <c r="X1244" s="478"/>
      <c r="Y1244" s="478"/>
    </row>
    <row r="1245" spans="24:25" x14ac:dyDescent="0.25">
      <c r="X1245" s="478"/>
      <c r="Y1245" s="478"/>
    </row>
    <row r="1246" spans="24:25" x14ac:dyDescent="0.25">
      <c r="X1246" s="478"/>
      <c r="Y1246" s="478"/>
    </row>
    <row r="1247" spans="24:25" x14ac:dyDescent="0.25">
      <c r="X1247" s="478"/>
      <c r="Y1247" s="478"/>
    </row>
    <row r="1248" spans="24:25" x14ac:dyDescent="0.25">
      <c r="X1248" s="478"/>
      <c r="Y1248" s="478"/>
    </row>
    <row r="1249" spans="24:25" x14ac:dyDescent="0.25">
      <c r="X1249" s="478"/>
      <c r="Y1249" s="478"/>
    </row>
    <row r="1250" spans="24:25" x14ac:dyDescent="0.25">
      <c r="X1250" s="478"/>
      <c r="Y1250" s="478"/>
    </row>
    <row r="1251" spans="24:25" x14ac:dyDescent="0.25">
      <c r="X1251" s="478"/>
      <c r="Y1251" s="478"/>
    </row>
    <row r="1252" spans="24:25" x14ac:dyDescent="0.25">
      <c r="X1252" s="478"/>
      <c r="Y1252" s="478"/>
    </row>
    <row r="1253" spans="24:25" x14ac:dyDescent="0.25">
      <c r="X1253" s="478"/>
      <c r="Y1253" s="478"/>
    </row>
    <row r="1254" spans="24:25" x14ac:dyDescent="0.25">
      <c r="X1254" s="478"/>
      <c r="Y1254" s="478"/>
    </row>
    <row r="1255" spans="24:25" x14ac:dyDescent="0.25">
      <c r="X1255" s="478"/>
      <c r="Y1255" s="478"/>
    </row>
    <row r="1256" spans="24:25" x14ac:dyDescent="0.25">
      <c r="X1256" s="478"/>
      <c r="Y1256" s="478"/>
    </row>
    <row r="1257" spans="24:25" x14ac:dyDescent="0.25">
      <c r="X1257" s="478"/>
      <c r="Y1257" s="478"/>
    </row>
    <row r="1258" spans="24:25" x14ac:dyDescent="0.25">
      <c r="X1258" s="478"/>
      <c r="Y1258" s="478"/>
    </row>
    <row r="1259" spans="24:25" x14ac:dyDescent="0.25">
      <c r="X1259" s="478"/>
      <c r="Y1259" s="478"/>
    </row>
    <row r="1260" spans="24:25" x14ac:dyDescent="0.25">
      <c r="X1260" s="478"/>
      <c r="Y1260" s="478"/>
    </row>
    <row r="1261" spans="24:25" x14ac:dyDescent="0.25">
      <c r="X1261" s="478"/>
      <c r="Y1261" s="478"/>
    </row>
    <row r="1262" spans="24:25" x14ac:dyDescent="0.25">
      <c r="X1262" s="478"/>
      <c r="Y1262" s="478"/>
    </row>
    <row r="1263" spans="24:25" x14ac:dyDescent="0.25">
      <c r="X1263" s="478"/>
      <c r="Y1263" s="478"/>
    </row>
    <row r="1264" spans="24:25" x14ac:dyDescent="0.25">
      <c r="X1264" s="478"/>
      <c r="Y1264" s="478"/>
    </row>
    <row r="1265" spans="24:25" x14ac:dyDescent="0.25">
      <c r="X1265" s="478"/>
      <c r="Y1265" s="478"/>
    </row>
    <row r="1266" spans="24:25" x14ac:dyDescent="0.25">
      <c r="X1266" s="478"/>
      <c r="Y1266" s="478"/>
    </row>
    <row r="1267" spans="24:25" x14ac:dyDescent="0.25">
      <c r="X1267" s="478"/>
      <c r="Y1267" s="478"/>
    </row>
    <row r="1268" spans="24:25" x14ac:dyDescent="0.25">
      <c r="X1268" s="478"/>
      <c r="Y1268" s="478"/>
    </row>
  </sheetData>
  <mergeCells count="16">
    <mergeCell ref="C213:S215"/>
    <mergeCell ref="T2:U2"/>
    <mergeCell ref="T5:U5"/>
    <mergeCell ref="T6:U6"/>
    <mergeCell ref="T7:U7"/>
    <mergeCell ref="AN8:AR8"/>
    <mergeCell ref="AF2:AG2"/>
    <mergeCell ref="C2:S2"/>
    <mergeCell ref="C5:S5"/>
    <mergeCell ref="C6:H8"/>
    <mergeCell ref="I6:P6"/>
    <mergeCell ref="Q6:S6"/>
    <mergeCell ref="V7:W7"/>
    <mergeCell ref="V6:W6"/>
    <mergeCell ref="V5:W5"/>
    <mergeCell ref="V2:W2"/>
  </mergeCells>
  <phoneticPr fontId="24" type="noConversion"/>
  <printOptions horizontalCentered="1"/>
  <pageMargins left="1" right="1" top="1" bottom="1" header="0.5" footer="0.5"/>
  <pageSetup paperSize="5" scale="49" fitToHeight="0" orientation="landscape" r:id="rId1"/>
  <colBreaks count="1" manualBreakCount="1">
    <brk id="16" min="1" max="192" man="1"/>
  </colBreaks>
  <ignoredErrors>
    <ignoredError sqref="AB9 L9 R191 R203 N9" formula="1"/>
    <ignoredError sqref="E173:E176"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00B050"/>
    <pageSetUpPr fitToPage="1"/>
  </sheetPr>
  <dimension ref="A1:AO84"/>
  <sheetViews>
    <sheetView showGridLines="0" zoomScale="70" zoomScaleNormal="70" workbookViewId="0">
      <selection activeCell="B6" sqref="B6:G8"/>
    </sheetView>
  </sheetViews>
  <sheetFormatPr baseColWidth="10" defaultColWidth="11.42578125" defaultRowHeight="12.75" customHeight="1" x14ac:dyDescent="0.2"/>
  <cols>
    <col min="1" max="1" width="3.140625" style="16" customWidth="1"/>
    <col min="2" max="2" width="6.5703125" style="657" customWidth="1"/>
    <col min="3" max="3" width="6.5703125" style="658" customWidth="1"/>
    <col min="4" max="4" width="7" style="239" customWidth="1"/>
    <col min="5" max="5" width="6.5703125" style="240" hidden="1" customWidth="1"/>
    <col min="6" max="6" width="15.140625" style="19" hidden="1" customWidth="1"/>
    <col min="7" max="7" width="67" style="16" customWidth="1"/>
    <col min="8" max="8" width="24.28515625" style="15" customWidth="1"/>
    <col min="9" max="9" width="21.140625" style="15" customWidth="1"/>
    <col min="10" max="10" width="21.7109375" style="15" customWidth="1"/>
    <col min="11" max="11" width="22.5703125" style="995" customWidth="1"/>
    <col min="12" max="12" width="21.7109375" style="15" hidden="1" customWidth="1"/>
    <col min="13" max="13" width="22.5703125" style="995" hidden="1" customWidth="1"/>
    <col min="14" max="14" width="22.5703125" style="15" hidden="1" customWidth="1"/>
    <col min="15" max="15" width="22.5703125" style="995" hidden="1" customWidth="1"/>
    <col min="16" max="17" width="23.7109375" style="15" customWidth="1"/>
    <col min="18" max="18" width="23.7109375" style="995" customWidth="1"/>
    <col min="19" max="19" width="23.7109375" style="182" hidden="1" customWidth="1"/>
    <col min="20" max="21" width="21.5703125" style="182" hidden="1" customWidth="1"/>
    <col min="22" max="22" width="21.5703125" style="166" hidden="1" customWidth="1"/>
    <col min="23" max="25" width="21.5703125" style="15" hidden="1" customWidth="1"/>
    <col min="26" max="26" width="21.5703125" style="23" hidden="1" customWidth="1"/>
    <col min="27" max="32" width="21.5703125" style="15" hidden="1" customWidth="1"/>
    <col min="33" max="33" width="26.5703125" style="378" customWidth="1"/>
    <col min="34" max="36" width="26.5703125" style="339" customWidth="1"/>
    <col min="37" max="37" width="10.28515625" style="341" hidden="1" customWidth="1"/>
    <col min="38" max="38" width="45.85546875" style="719" hidden="1" customWidth="1"/>
    <col min="39" max="41" width="14.7109375" style="719" customWidth="1"/>
    <col min="42" max="16384" width="11.42578125" style="16"/>
  </cols>
  <sheetData>
    <row r="1" spans="2:41" s="52" customFormat="1" ht="15" customHeight="1" x14ac:dyDescent="0.25">
      <c r="B1" s="121"/>
      <c r="C1" s="121"/>
      <c r="D1" s="121"/>
      <c r="E1" s="121"/>
      <c r="I1" s="121"/>
      <c r="J1" s="121"/>
      <c r="K1" s="991"/>
      <c r="L1" s="121"/>
      <c r="M1" s="996"/>
      <c r="O1" s="996"/>
      <c r="R1" s="991"/>
      <c r="AH1" s="339"/>
      <c r="AI1" s="339"/>
      <c r="AJ1" s="339"/>
      <c r="AK1" s="341"/>
      <c r="AL1" s="122"/>
      <c r="AM1" s="122"/>
      <c r="AN1" s="122"/>
      <c r="AO1" s="122"/>
    </row>
    <row r="2" spans="2:41" s="97" customFormat="1" ht="27.75" customHeight="1" x14ac:dyDescent="0.25">
      <c r="B2" s="1269" t="s">
        <v>277</v>
      </c>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339"/>
      <c r="AH2" s="339"/>
      <c r="AI2" s="339"/>
      <c r="AJ2" s="339"/>
      <c r="AK2" s="341"/>
      <c r="AL2" s="341"/>
      <c r="AM2" s="341"/>
      <c r="AN2" s="341"/>
      <c r="AO2" s="341"/>
    </row>
    <row r="3" spans="2:41" s="97" customFormat="1" ht="27" hidden="1" customHeight="1" x14ac:dyDescent="0.25">
      <c r="B3" s="1198"/>
      <c r="C3" s="1199"/>
      <c r="D3" s="1200"/>
      <c r="E3" s="1200"/>
      <c r="F3" s="1201"/>
      <c r="G3" s="1202"/>
      <c r="H3" s="1203"/>
      <c r="I3" s="1203"/>
      <c r="J3" s="1203"/>
      <c r="K3" s="1204"/>
      <c r="L3" s="1203"/>
      <c r="M3" s="1204"/>
      <c r="N3" s="1203"/>
      <c r="O3" s="1204"/>
      <c r="P3" s="1203"/>
      <c r="Q3" s="1203"/>
      <c r="R3" s="1204"/>
      <c r="S3" s="1205" t="s">
        <v>266</v>
      </c>
      <c r="T3" s="1205" t="s">
        <v>126</v>
      </c>
      <c r="U3" s="1205" t="s">
        <v>266</v>
      </c>
      <c r="V3" s="1205" t="s">
        <v>126</v>
      </c>
      <c r="W3" s="1205"/>
      <c r="X3" s="1205"/>
      <c r="Y3" s="1205"/>
      <c r="Z3" s="1205"/>
      <c r="AA3" s="1205"/>
      <c r="AB3" s="1205"/>
      <c r="AC3" s="1205"/>
      <c r="AD3" s="1205"/>
      <c r="AE3" s="1205"/>
      <c r="AF3" s="1205"/>
      <c r="AG3" s="339"/>
      <c r="AH3" s="339"/>
      <c r="AI3" s="339"/>
      <c r="AJ3" s="339"/>
      <c r="AK3" s="985"/>
      <c r="AL3" s="985"/>
      <c r="AM3" s="341"/>
      <c r="AN3" s="341"/>
      <c r="AO3" s="341"/>
    </row>
    <row r="4" spans="2:41" s="97" customFormat="1" ht="27" hidden="1" customHeight="1" x14ac:dyDescent="0.25">
      <c r="B4" s="1198"/>
      <c r="C4" s="1199"/>
      <c r="D4" s="1200"/>
      <c r="E4" s="1200"/>
      <c r="F4" s="1201"/>
      <c r="G4" s="1202"/>
      <c r="H4" s="1203"/>
      <c r="I4" s="1203"/>
      <c r="J4" s="1203"/>
      <c r="K4" s="1204"/>
      <c r="L4" s="1203"/>
      <c r="M4" s="1204"/>
      <c r="N4" s="1203"/>
      <c r="O4" s="1204"/>
      <c r="P4" s="1203"/>
      <c r="Q4" s="1203"/>
      <c r="R4" s="1204"/>
      <c r="S4" s="1206"/>
      <c r="T4" s="1206"/>
      <c r="U4" s="1206"/>
      <c r="V4" s="1207"/>
      <c r="W4" s="352"/>
      <c r="X4" s="352"/>
      <c r="Y4" s="352"/>
      <c r="Z4" s="631"/>
      <c r="AA4" s="630"/>
      <c r="AB4" s="630"/>
      <c r="AC4" s="630"/>
      <c r="AD4" s="630"/>
      <c r="AE4" s="630"/>
      <c r="AF4" s="630"/>
      <c r="AG4" s="339"/>
      <c r="AH4" s="339"/>
      <c r="AI4" s="339"/>
      <c r="AJ4" s="339"/>
      <c r="AK4" s="985"/>
      <c r="AL4" s="985"/>
      <c r="AM4" s="341"/>
      <c r="AN4" s="341"/>
      <c r="AO4" s="341"/>
    </row>
    <row r="5" spans="2:41" s="97" customFormat="1" ht="27" customHeight="1" x14ac:dyDescent="0.25">
      <c r="B5" s="1278" t="s">
        <v>135</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339"/>
      <c r="AH5" s="339"/>
      <c r="AI5" s="339"/>
      <c r="AJ5" s="339"/>
      <c r="AK5" s="341"/>
      <c r="AL5" s="341"/>
      <c r="AM5" s="341"/>
      <c r="AN5" s="341"/>
      <c r="AO5" s="341"/>
    </row>
    <row r="6" spans="2:41" s="97" customFormat="1" ht="27" customHeight="1" x14ac:dyDescent="0.25">
      <c r="B6" s="1279" t="s">
        <v>276</v>
      </c>
      <c r="C6" s="1279"/>
      <c r="D6" s="1279"/>
      <c r="E6" s="1279"/>
      <c r="F6" s="1279"/>
      <c r="G6" s="1279"/>
      <c r="H6" s="1272" t="s">
        <v>1012</v>
      </c>
      <c r="I6" s="1272"/>
      <c r="J6" s="1272"/>
      <c r="K6" s="1272"/>
      <c r="L6" s="1272"/>
      <c r="M6" s="1272"/>
      <c r="N6" s="1272"/>
      <c r="O6" s="1272"/>
      <c r="P6" s="1273" t="s">
        <v>878</v>
      </c>
      <c r="Q6" s="1273"/>
      <c r="R6" s="1273"/>
      <c r="S6" s="1275"/>
      <c r="T6" s="1275"/>
      <c r="U6" s="1275"/>
      <c r="V6" s="1275"/>
      <c r="W6" s="535"/>
      <c r="X6" s="535"/>
      <c r="Y6" s="535"/>
      <c r="Z6" s="535"/>
      <c r="AA6" s="535"/>
      <c r="AB6" s="535"/>
      <c r="AC6" s="535"/>
      <c r="AD6" s="535"/>
      <c r="AE6" s="622"/>
      <c r="AF6" s="535"/>
      <c r="AG6" s="339"/>
      <c r="AH6" s="339"/>
      <c r="AI6" s="339"/>
      <c r="AJ6" s="339"/>
      <c r="AK6" s="341"/>
      <c r="AL6" s="341"/>
      <c r="AM6" s="341"/>
      <c r="AN6" s="341"/>
      <c r="AO6" s="341"/>
    </row>
    <row r="7" spans="2:41" ht="15.75" customHeight="1" x14ac:dyDescent="0.25">
      <c r="B7" s="1279"/>
      <c r="C7" s="1279"/>
      <c r="D7" s="1279"/>
      <c r="E7" s="1279"/>
      <c r="F7" s="1279"/>
      <c r="G7" s="1279"/>
      <c r="H7" s="637" t="s">
        <v>129</v>
      </c>
      <c r="I7" s="637" t="s">
        <v>130</v>
      </c>
      <c r="J7" s="637" t="s">
        <v>131</v>
      </c>
      <c r="K7" s="683" t="s">
        <v>132</v>
      </c>
      <c r="L7" s="637" t="s">
        <v>705</v>
      </c>
      <c r="M7" s="683" t="s">
        <v>707</v>
      </c>
      <c r="N7" s="637" t="s">
        <v>706</v>
      </c>
      <c r="O7" s="683" t="s">
        <v>708</v>
      </c>
      <c r="P7" s="639" t="s">
        <v>129</v>
      </c>
      <c r="Q7" s="640" t="s">
        <v>130</v>
      </c>
      <c r="R7" s="972" t="s">
        <v>133</v>
      </c>
      <c r="S7" s="1275" t="s">
        <v>0</v>
      </c>
      <c r="T7" s="1275"/>
      <c r="U7" s="1280" t="s">
        <v>136</v>
      </c>
      <c r="V7" s="1280"/>
      <c r="W7" s="623" t="s">
        <v>6</v>
      </c>
      <c r="X7" s="623" t="s">
        <v>7</v>
      </c>
      <c r="Y7" s="623" t="s">
        <v>8</v>
      </c>
      <c r="Z7" s="624" t="s">
        <v>9</v>
      </c>
      <c r="AA7" s="623" t="s">
        <v>79</v>
      </c>
      <c r="AB7" s="623" t="s">
        <v>10</v>
      </c>
      <c r="AC7" s="623" t="s">
        <v>11</v>
      </c>
      <c r="AD7" s="623" t="s">
        <v>12</v>
      </c>
      <c r="AE7" s="623" t="s">
        <v>13</v>
      </c>
      <c r="AF7" s="623" t="s">
        <v>14</v>
      </c>
      <c r="AL7" s="405"/>
      <c r="AM7" s="405"/>
      <c r="AN7" s="405"/>
      <c r="AO7" s="405"/>
    </row>
    <row r="8" spans="2:41" s="21" customFormat="1" ht="42" customHeight="1" x14ac:dyDescent="0.25">
      <c r="B8" s="1279"/>
      <c r="C8" s="1279"/>
      <c r="D8" s="1279"/>
      <c r="E8" s="1279"/>
      <c r="F8" s="1279"/>
      <c r="G8" s="1279"/>
      <c r="H8" s="641" t="s">
        <v>1005</v>
      </c>
      <c r="I8" s="641" t="s">
        <v>1006</v>
      </c>
      <c r="J8" s="641" t="s">
        <v>1062</v>
      </c>
      <c r="K8" s="798" t="s">
        <v>1063</v>
      </c>
      <c r="L8" s="641" t="s">
        <v>718</v>
      </c>
      <c r="M8" s="798" t="s">
        <v>717</v>
      </c>
      <c r="N8" s="641" t="s">
        <v>715</v>
      </c>
      <c r="O8" s="798" t="s">
        <v>716</v>
      </c>
      <c r="P8" s="643" t="s">
        <v>1059</v>
      </c>
      <c r="Q8" s="643" t="s">
        <v>1060</v>
      </c>
      <c r="R8" s="973" t="s">
        <v>1061</v>
      </c>
      <c r="S8" s="625" t="s">
        <v>1013</v>
      </c>
      <c r="T8" s="625" t="s">
        <v>879</v>
      </c>
      <c r="U8" s="625" t="s">
        <v>1013</v>
      </c>
      <c r="V8" s="625" t="s">
        <v>879</v>
      </c>
      <c r="W8" s="625" t="s">
        <v>879</v>
      </c>
      <c r="X8" s="625" t="s">
        <v>879</v>
      </c>
      <c r="Y8" s="625" t="s">
        <v>879</v>
      </c>
      <c r="Z8" s="625" t="s">
        <v>879</v>
      </c>
      <c r="AA8" s="625" t="s">
        <v>879</v>
      </c>
      <c r="AB8" s="625" t="s">
        <v>879</v>
      </c>
      <c r="AC8" s="625" t="s">
        <v>879</v>
      </c>
      <c r="AD8" s="625" t="s">
        <v>879</v>
      </c>
      <c r="AE8" s="625" t="s">
        <v>879</v>
      </c>
      <c r="AF8" s="625" t="s">
        <v>879</v>
      </c>
      <c r="AG8" s="340"/>
      <c r="AH8" s="339"/>
      <c r="AI8" s="339"/>
      <c r="AJ8" s="339"/>
      <c r="AK8" s="341"/>
      <c r="AL8" s="990"/>
      <c r="AM8" s="990"/>
      <c r="AN8" s="990"/>
      <c r="AO8" s="990"/>
    </row>
    <row r="9" spans="2:41" s="237" customFormat="1" ht="36" customHeight="1" x14ac:dyDescent="0.25">
      <c r="B9" s="647" t="s">
        <v>91</v>
      </c>
      <c r="C9" s="655" t="s">
        <v>92</v>
      </c>
      <c r="D9" s="645" t="s">
        <v>93</v>
      </c>
      <c r="E9" s="645" t="s">
        <v>94</v>
      </c>
      <c r="F9" s="646" t="s">
        <v>216</v>
      </c>
      <c r="G9" s="647" t="s">
        <v>137</v>
      </c>
      <c r="H9" s="314">
        <f>+H10+H53+H61+H63+H46</f>
        <v>6445274</v>
      </c>
      <c r="I9" s="314">
        <f>+I10+I53+I63+I61+I46</f>
        <v>6374314</v>
      </c>
      <c r="J9" s="314">
        <f ca="1">+J10+J53+J63+J61+J46</f>
        <v>1541895.4289999998</v>
      </c>
      <c r="K9" s="992">
        <f ca="1">IFERROR(J9/I9,0)</f>
        <v>0.24189197912120422</v>
      </c>
      <c r="L9" s="315">
        <f>+L10+L53+L63+L61+L46</f>
        <v>2212445.7599999998</v>
      </c>
      <c r="M9" s="992">
        <f t="shared" ref="M9:M21" si="0">IFERROR(+L9/I9,0)</f>
        <v>0.34708766464909002</v>
      </c>
      <c r="N9" s="314">
        <f t="shared" ref="N9:N32" si="1">+I9-L9</f>
        <v>4161868.24</v>
      </c>
      <c r="O9" s="992">
        <f t="shared" ref="O9:O21" si="2">+IFERROR(N9/I9,0)</f>
        <v>0.65291233535090998</v>
      </c>
      <c r="P9" s="619">
        <f>+P10+P46+P53+P61</f>
        <v>7549604.7881999994</v>
      </c>
      <c r="Q9" s="619">
        <f>+Q10+Q46+Q53+Q61</f>
        <v>1091324.102622</v>
      </c>
      <c r="R9" s="992">
        <f>IFERROR(Q9/P9,"0,00%")</f>
        <v>0.14455380556181366</v>
      </c>
      <c r="S9" s="1208">
        <f>+S10+S53+S63+S61+S46</f>
        <v>1410532.5089999998</v>
      </c>
      <c r="T9" s="1208">
        <f>+T10+T53+T63+T61+T46</f>
        <v>789654.60551399994</v>
      </c>
      <c r="U9" s="626">
        <f>+U10+U53+U63+U61+U46</f>
        <v>118142.27899999999</v>
      </c>
      <c r="V9" s="626">
        <f>+V10+V53+V63+V61</f>
        <v>301669.49710799998</v>
      </c>
      <c r="W9" s="626">
        <f>+W10+W46+W53+W61+W63</f>
        <v>360016.51299999998</v>
      </c>
      <c r="X9" s="626">
        <f>+X10+X53+X63+X61</f>
        <v>629819.54700000002</v>
      </c>
      <c r="Y9" s="626">
        <f>+Y10+Y46+Y53</f>
        <v>672920.37800000003</v>
      </c>
      <c r="Z9" s="626">
        <f>+Z10+Z46+Z53</f>
        <v>263258.41800000001</v>
      </c>
      <c r="AA9" s="626">
        <f>+AA10+AA46+AA53</f>
        <v>318283.66599999997</v>
      </c>
      <c r="AB9" s="626">
        <f>+AB10+AB46+AB53</f>
        <v>365158.57700000005</v>
      </c>
      <c r="AC9" s="626">
        <f>+AC10+AC46+AC53</f>
        <v>244290.62400000001</v>
      </c>
      <c r="AD9" s="626">
        <f>AD10+AD46+AD53</f>
        <v>203623.549</v>
      </c>
      <c r="AE9" s="626">
        <f>+AE10+AE46+AE53</f>
        <v>840480.97100000014</v>
      </c>
      <c r="AF9" s="626">
        <f>+AF10+AF46+AF53</f>
        <v>2372175.5350000001</v>
      </c>
      <c r="AG9" s="485"/>
      <c r="AH9" s="339"/>
      <c r="AI9" s="339"/>
      <c r="AJ9" s="339"/>
      <c r="AK9" s="339"/>
      <c r="AL9" s="339"/>
      <c r="AM9" s="983"/>
      <c r="AN9" s="983"/>
      <c r="AO9" s="983"/>
    </row>
    <row r="10" spans="2:41" s="97" customFormat="1" ht="15" customHeight="1" x14ac:dyDescent="0.25">
      <c r="B10" s="961">
        <v>24</v>
      </c>
      <c r="C10" s="238" t="s">
        <v>2</v>
      </c>
      <c r="D10" s="47"/>
      <c r="E10" s="47"/>
      <c r="F10" s="114"/>
      <c r="G10" s="618" t="s">
        <v>147</v>
      </c>
      <c r="H10" s="195">
        <f>+H11+H20+H13+H44</f>
        <v>5026053</v>
      </c>
      <c r="I10" s="195">
        <f t="shared" ref="I10:N10" si="3">+I11+I20+I13+I44</f>
        <v>5026053</v>
      </c>
      <c r="J10" s="195">
        <f t="shared" ca="1" si="3"/>
        <v>126856.78599999999</v>
      </c>
      <c r="K10" s="993">
        <f t="shared" ref="K10:K63" ca="1" si="4">IFERROR(J10/I10,0)</f>
        <v>2.5239842476790435E-2</v>
      </c>
      <c r="L10" s="195">
        <f t="shared" si="3"/>
        <v>630306.26100000006</v>
      </c>
      <c r="M10" s="993">
        <f>IFERROR(+L10/I10,0)</f>
        <v>0.12540780230530799</v>
      </c>
      <c r="N10" s="195">
        <f t="shared" si="3"/>
        <v>4395746.7390000001</v>
      </c>
      <c r="O10" s="993">
        <f t="shared" si="2"/>
        <v>0.8745921976946921</v>
      </c>
      <c r="P10" s="111">
        <f>+P20+P11</f>
        <v>6230504.5819999995</v>
      </c>
      <c r="Q10" s="111">
        <f>+Q20+Q11</f>
        <v>278793.71774200001</v>
      </c>
      <c r="R10" s="993">
        <f>IFERROR(Q10/P10,"0,00%")</f>
        <v>4.4746571336684082E-2</v>
      </c>
      <c r="S10" s="620">
        <f t="shared" ref="S10:AF10" si="5">+S20</f>
        <v>0</v>
      </c>
      <c r="T10" s="620">
        <f t="shared" si="5"/>
        <v>123503.655402</v>
      </c>
      <c r="U10" s="627">
        <f>+U20++U11+U13+U44</f>
        <v>113636.14499999999</v>
      </c>
      <c r="V10" s="627">
        <f>+V20++V11+V13</f>
        <v>155290.06234</v>
      </c>
      <c r="W10" s="627">
        <f t="shared" si="5"/>
        <v>344073.41499999998</v>
      </c>
      <c r="X10" s="627">
        <f>+X20+X11</f>
        <v>548738.01699999999</v>
      </c>
      <c r="Y10" s="627">
        <f>+Y20</f>
        <v>620630.51</v>
      </c>
      <c r="Z10" s="627">
        <f t="shared" si="5"/>
        <v>221655.51800000001</v>
      </c>
      <c r="AA10" s="627">
        <f t="shared" si="5"/>
        <v>247373.647</v>
      </c>
      <c r="AB10" s="627">
        <f>+AB20</f>
        <v>290585.08500000002</v>
      </c>
      <c r="AC10" s="627">
        <f>+AC20</f>
        <v>197302.51500000001</v>
      </c>
      <c r="AD10" s="627">
        <f>AD11+AD20</f>
        <v>133855.99300000002</v>
      </c>
      <c r="AE10" s="627">
        <f>+AE20</f>
        <v>790069.5340000001</v>
      </c>
      <c r="AF10" s="111">
        <f t="shared" si="5"/>
        <v>1963623.1230000001</v>
      </c>
      <c r="AG10" s="485"/>
      <c r="AH10" s="983"/>
      <c r="AI10" s="339"/>
      <c r="AJ10" s="487"/>
      <c r="AK10" s="487"/>
      <c r="AL10" s="487"/>
      <c r="AM10" s="982"/>
      <c r="AN10" s="982"/>
      <c r="AO10" s="982"/>
    </row>
    <row r="11" spans="2:41" s="97" customFormat="1" ht="15" hidden="1" customHeight="1" x14ac:dyDescent="0.25">
      <c r="B11" s="961"/>
      <c r="C11" s="238">
        <v>2</v>
      </c>
      <c r="D11" s="47"/>
      <c r="E11" s="47"/>
      <c r="F11" s="114"/>
      <c r="G11" s="618" t="s">
        <v>86</v>
      </c>
      <c r="H11" s="195">
        <f>+H12</f>
        <v>0</v>
      </c>
      <c r="I11" s="195">
        <f>+I12</f>
        <v>0</v>
      </c>
      <c r="J11" s="195">
        <f ca="1">+J12</f>
        <v>0</v>
      </c>
      <c r="K11" s="993">
        <f t="shared" ca="1" si="4"/>
        <v>0</v>
      </c>
      <c r="L11" s="195">
        <f>+L12</f>
        <v>0</v>
      </c>
      <c r="M11" s="993">
        <f t="shared" si="0"/>
        <v>0</v>
      </c>
      <c r="N11" s="195">
        <f t="shared" si="1"/>
        <v>0</v>
      </c>
      <c r="O11" s="993">
        <f t="shared" si="2"/>
        <v>0</v>
      </c>
      <c r="P11" s="111">
        <f>+P12</f>
        <v>0</v>
      </c>
      <c r="Q11" s="111">
        <f>+Q12</f>
        <v>0</v>
      </c>
      <c r="R11" s="993" t="str">
        <f t="shared" ref="R11:R20" si="6">IFERROR(Q11/P11,"0,00%")</f>
        <v>0,00%</v>
      </c>
      <c r="S11" s="620">
        <v>0</v>
      </c>
      <c r="T11" s="620">
        <v>0</v>
      </c>
      <c r="U11" s="620">
        <f>+U12</f>
        <v>0</v>
      </c>
      <c r="V11" s="620">
        <v>0</v>
      </c>
      <c r="W11" s="620">
        <v>0</v>
      </c>
      <c r="X11" s="620">
        <f>+X12</f>
        <v>0</v>
      </c>
      <c r="Y11" s="620">
        <v>0</v>
      </c>
      <c r="Z11" s="620">
        <v>0</v>
      </c>
      <c r="AA11" s="620">
        <v>0</v>
      </c>
      <c r="AB11" s="620">
        <v>0</v>
      </c>
      <c r="AC11" s="620">
        <f>+AC12</f>
        <v>0</v>
      </c>
      <c r="AD11" s="620">
        <f>AD12</f>
        <v>0</v>
      </c>
      <c r="AE11" s="620">
        <v>0</v>
      </c>
      <c r="AF11" s="620">
        <v>0</v>
      </c>
      <c r="AG11" s="485"/>
      <c r="AH11" s="983"/>
      <c r="AI11" s="339"/>
      <c r="AJ11" s="487"/>
      <c r="AK11" s="487"/>
      <c r="AL11" s="487"/>
      <c r="AM11" s="982"/>
      <c r="AN11" s="982"/>
      <c r="AO11" s="982"/>
    </row>
    <row r="12" spans="2:41" s="97" customFormat="1" ht="15" hidden="1" customHeight="1" x14ac:dyDescent="0.25">
      <c r="B12" s="966"/>
      <c r="C12" s="603"/>
      <c r="D12" s="354">
        <v>500</v>
      </c>
      <c r="E12" s="354"/>
      <c r="F12" s="355"/>
      <c r="G12" s="648" t="s">
        <v>948</v>
      </c>
      <c r="H12" s="342">
        <v>0</v>
      </c>
      <c r="I12" s="342">
        <v>0</v>
      </c>
      <c r="J12" s="342">
        <f ca="1">+SUMIF(S$3:$AF5,"ok",S12:AF12)</f>
        <v>0</v>
      </c>
      <c r="K12" s="693">
        <f t="shared" ca="1" si="4"/>
        <v>0</v>
      </c>
      <c r="L12" s="342">
        <v>0</v>
      </c>
      <c r="M12" s="997">
        <f t="shared" si="0"/>
        <v>0</v>
      </c>
      <c r="N12" s="342">
        <f t="shared" si="1"/>
        <v>0</v>
      </c>
      <c r="O12" s="997">
        <f t="shared" si="2"/>
        <v>0</v>
      </c>
      <c r="P12" s="348">
        <v>0</v>
      </c>
      <c r="Q12" s="349">
        <f>SUMIF($S$3:$AF$3,"SI",S12:AF12)</f>
        <v>0</v>
      </c>
      <c r="R12" s="997" t="str">
        <f t="shared" si="6"/>
        <v>0,00%</v>
      </c>
      <c r="S12" s="1209">
        <v>0</v>
      </c>
      <c r="T12" s="1209">
        <v>0</v>
      </c>
      <c r="U12" s="1209">
        <v>0</v>
      </c>
      <c r="V12" s="628">
        <v>0</v>
      </c>
      <c r="W12" s="628">
        <v>0</v>
      </c>
      <c r="X12" s="628">
        <v>0</v>
      </c>
      <c r="Y12" s="628"/>
      <c r="Z12" s="628">
        <v>0</v>
      </c>
      <c r="AA12" s="628">
        <v>0</v>
      </c>
      <c r="AB12" s="628">
        <v>0</v>
      </c>
      <c r="AC12" s="628">
        <v>0</v>
      </c>
      <c r="AD12" s="628">
        <v>0</v>
      </c>
      <c r="AE12" s="628">
        <v>0</v>
      </c>
      <c r="AF12" s="1210">
        <v>0</v>
      </c>
      <c r="AG12" s="485"/>
      <c r="AH12" s="983"/>
      <c r="AI12" s="339"/>
      <c r="AJ12" s="487"/>
      <c r="AK12" s="487"/>
      <c r="AL12" s="487"/>
      <c r="AM12" s="982"/>
      <c r="AN12" s="982"/>
      <c r="AO12" s="982"/>
    </row>
    <row r="13" spans="2:41" s="97" customFormat="1" ht="15" customHeight="1" x14ac:dyDescent="0.25">
      <c r="B13" s="961"/>
      <c r="C13" s="238">
        <v>1</v>
      </c>
      <c r="D13" s="47"/>
      <c r="E13" s="47"/>
      <c r="F13" s="114"/>
      <c r="G13" s="618" t="s">
        <v>300</v>
      </c>
      <c r="H13" s="195">
        <f>+H14</f>
        <v>2681203</v>
      </c>
      <c r="I13" s="195">
        <f t="shared" ref="I13:J13" si="7">+I14</f>
        <v>2681203</v>
      </c>
      <c r="J13" s="195">
        <f t="shared" si="7"/>
        <v>15778.943000000001</v>
      </c>
      <c r="K13" s="994">
        <f t="shared" si="4"/>
        <v>5.8850236255889622E-3</v>
      </c>
      <c r="L13" s="195">
        <f>+L14</f>
        <v>478117.20999999996</v>
      </c>
      <c r="M13" s="993">
        <f t="shared" si="0"/>
        <v>0.17832189878946128</v>
      </c>
      <c r="N13" s="195">
        <f t="shared" ref="N13" si="8">+N14</f>
        <v>2203085.79</v>
      </c>
      <c r="O13" s="998">
        <f t="shared" si="2"/>
        <v>0.82167810121053875</v>
      </c>
      <c r="P13" s="659">
        <f>+P14</f>
        <v>0</v>
      </c>
      <c r="Q13" s="660">
        <f>+Q14</f>
        <v>0</v>
      </c>
      <c r="R13" s="993" t="str">
        <f t="shared" si="6"/>
        <v>0,00%</v>
      </c>
      <c r="S13" s="1211">
        <f>+S14</f>
        <v>13220.641000000001</v>
      </c>
      <c r="T13" s="1211">
        <f>+T14</f>
        <v>0</v>
      </c>
      <c r="U13" s="661">
        <f>+U14</f>
        <v>2558.3020000000001</v>
      </c>
      <c r="V13" s="661">
        <f>+V14</f>
        <v>0</v>
      </c>
      <c r="W13" s="661"/>
      <c r="X13" s="661"/>
      <c r="Y13" s="661"/>
      <c r="Z13" s="661"/>
      <c r="AA13" s="661"/>
      <c r="AB13" s="661"/>
      <c r="AC13" s="661"/>
      <c r="AD13" s="661"/>
      <c r="AE13" s="661"/>
      <c r="AF13" s="620"/>
      <c r="AG13" s="485"/>
      <c r="AH13" s="983"/>
      <c r="AI13" s="487"/>
      <c r="AJ13" s="487"/>
      <c r="AK13" s="487"/>
      <c r="AL13" s="487"/>
      <c r="AM13" s="982"/>
      <c r="AN13" s="341"/>
      <c r="AO13" s="341"/>
    </row>
    <row r="14" spans="2:41" s="97" customFormat="1" ht="15" customHeight="1" x14ac:dyDescent="0.25">
      <c r="B14" s="555"/>
      <c r="C14" s="603"/>
      <c r="D14" s="354">
        <v>30</v>
      </c>
      <c r="E14" s="354"/>
      <c r="F14" s="354" t="s">
        <v>1033</v>
      </c>
      <c r="G14" s="648" t="s">
        <v>299</v>
      </c>
      <c r="H14" s="342">
        <f>SUM(H15:H19)</f>
        <v>2681203</v>
      </c>
      <c r="I14" s="342">
        <f t="shared" ref="I14:N14" si="9">SUM(I15:I19)</f>
        <v>2681203</v>
      </c>
      <c r="J14" s="342">
        <f>SUMIF($S$3:$AF$3,"ok",S14:AF14)</f>
        <v>15778.943000000001</v>
      </c>
      <c r="K14" s="693">
        <f t="shared" si="4"/>
        <v>5.8850236255889622E-3</v>
      </c>
      <c r="L14" s="342">
        <f>SUM(L15:L19)</f>
        <v>478117.20999999996</v>
      </c>
      <c r="M14" s="997">
        <f t="shared" si="0"/>
        <v>0.17832189878946128</v>
      </c>
      <c r="N14" s="342">
        <f t="shared" si="9"/>
        <v>2203085.79</v>
      </c>
      <c r="O14" s="997">
        <f t="shared" si="2"/>
        <v>0.82167810121053875</v>
      </c>
      <c r="P14" s="348">
        <f>SUM(P15:P19)</f>
        <v>0</v>
      </c>
      <c r="Q14" s="348">
        <f>SUM(Q15:Q19)</f>
        <v>0</v>
      </c>
      <c r="R14" s="997" t="str">
        <f t="shared" si="6"/>
        <v>0,00%</v>
      </c>
      <c r="S14" s="1209">
        <f>SUM(S15:S19)</f>
        <v>13220.641000000001</v>
      </c>
      <c r="T14" s="1209">
        <f>SUM(T15:T19)</f>
        <v>0</v>
      </c>
      <c r="U14" s="628">
        <f>SUM(U15:U19)</f>
        <v>2558.3020000000001</v>
      </c>
      <c r="V14" s="628">
        <f>SUM(V15:V19)</f>
        <v>0</v>
      </c>
      <c r="W14" s="628"/>
      <c r="X14" s="628"/>
      <c r="Y14" s="628"/>
      <c r="Z14" s="628"/>
      <c r="AA14" s="628"/>
      <c r="AB14" s="628"/>
      <c r="AC14" s="628"/>
      <c r="AD14" s="628"/>
      <c r="AE14" s="628"/>
      <c r="AF14" s="1210"/>
      <c r="AG14" s="485"/>
      <c r="AH14" s="983"/>
      <c r="AI14" s="487"/>
      <c r="AJ14" s="487"/>
      <c r="AK14" s="487"/>
      <c r="AL14" s="487"/>
      <c r="AM14" s="982"/>
      <c r="AN14" s="341"/>
      <c r="AO14" s="341"/>
    </row>
    <row r="15" spans="2:41" s="339" customFormat="1" ht="15" hidden="1" customHeight="1" x14ac:dyDescent="0.25">
      <c r="B15" s="888"/>
      <c r="C15" s="603"/>
      <c r="D15" s="354"/>
      <c r="E15" s="354">
        <v>1</v>
      </c>
      <c r="F15" s="355"/>
      <c r="G15" s="648" t="s">
        <v>319</v>
      </c>
      <c r="H15" s="342">
        <f>+'P02 2025'!H3</f>
        <v>2375000</v>
      </c>
      <c r="I15" s="342">
        <f>+'P02 2025'!AA3</f>
        <v>2375000</v>
      </c>
      <c r="J15" s="342">
        <f t="shared" ref="J15:J19" si="10">SUMIF($S$3:$AF$3,"ok",S15:AF15)</f>
        <v>0</v>
      </c>
      <c r="K15" s="693">
        <f t="shared" si="4"/>
        <v>0</v>
      </c>
      <c r="L15" s="342">
        <f>'P02 2025'!AC12</f>
        <v>439132.30800000002</v>
      </c>
      <c r="M15" s="997">
        <f t="shared" si="0"/>
        <v>0.18489781389473686</v>
      </c>
      <c r="N15" s="342">
        <f>+I15-L15</f>
        <v>1935867.692</v>
      </c>
      <c r="O15" s="997">
        <f t="shared" si="2"/>
        <v>0.81510218610526319</v>
      </c>
      <c r="P15" s="348">
        <v>0</v>
      </c>
      <c r="Q15" s="349">
        <v>0</v>
      </c>
      <c r="R15" s="997" t="str">
        <f t="shared" si="6"/>
        <v>0,00%</v>
      </c>
      <c r="S15" s="621">
        <v>0</v>
      </c>
      <c r="T15" s="621"/>
      <c r="U15" s="621">
        <v>0</v>
      </c>
      <c r="V15" s="666">
        <v>0</v>
      </c>
      <c r="W15" s="666"/>
      <c r="X15" s="666"/>
      <c r="Y15" s="666"/>
      <c r="Z15" s="666"/>
      <c r="AA15" s="666"/>
      <c r="AB15" s="666"/>
      <c r="AC15" s="666"/>
      <c r="AD15" s="666"/>
      <c r="AE15" s="666"/>
      <c r="AF15" s="1212"/>
      <c r="AG15" s="485"/>
      <c r="AH15" s="983"/>
      <c r="AM15" s="341"/>
      <c r="AN15" s="341"/>
      <c r="AO15" s="341"/>
    </row>
    <row r="16" spans="2:41" s="339" customFormat="1" ht="15" hidden="1" customHeight="1" x14ac:dyDescent="0.25">
      <c r="B16" s="888"/>
      <c r="C16" s="603"/>
      <c r="D16" s="354"/>
      <c r="E16" s="354">
        <v>2</v>
      </c>
      <c r="F16" s="355"/>
      <c r="G16" s="648" t="s">
        <v>330</v>
      </c>
      <c r="H16" s="342">
        <f>+'P02 2025'!H4</f>
        <v>204765</v>
      </c>
      <c r="I16" s="342">
        <f>+'P02 2025'!AA4</f>
        <v>204765</v>
      </c>
      <c r="J16" s="342">
        <f t="shared" si="10"/>
        <v>11331.383000000002</v>
      </c>
      <c r="K16" s="693">
        <f t="shared" si="4"/>
        <v>5.5338475813737707E-2</v>
      </c>
      <c r="L16" s="342">
        <f>'P02 2025'!AC11</f>
        <v>11331.383</v>
      </c>
      <c r="M16" s="997">
        <f t="shared" si="0"/>
        <v>5.53384758137377E-2</v>
      </c>
      <c r="N16" s="342">
        <f>+I16-L16</f>
        <v>193433.617</v>
      </c>
      <c r="O16" s="997">
        <f t="shared" si="2"/>
        <v>0.94466152418626226</v>
      </c>
      <c r="P16" s="348">
        <v>0</v>
      </c>
      <c r="Q16" s="349">
        <v>0</v>
      </c>
      <c r="R16" s="997" t="str">
        <f t="shared" si="6"/>
        <v>0,00%</v>
      </c>
      <c r="S16" s="621">
        <f>+'P02 2025'!I8</f>
        <v>10996.861000000001</v>
      </c>
      <c r="T16" s="621">
        <v>0</v>
      </c>
      <c r="U16" s="621">
        <f>+'P02 2025'!R4</f>
        <v>334.52199999999999</v>
      </c>
      <c r="V16" s="666">
        <v>0</v>
      </c>
      <c r="W16" s="666"/>
      <c r="X16" s="666"/>
      <c r="Y16" s="666"/>
      <c r="Z16" s="666"/>
      <c r="AA16" s="666"/>
      <c r="AB16" s="666"/>
      <c r="AC16" s="666"/>
      <c r="AD16" s="666"/>
      <c r="AE16" s="666"/>
      <c r="AF16" s="1212"/>
      <c r="AG16" s="485"/>
      <c r="AH16" s="983"/>
      <c r="AI16" s="487"/>
      <c r="AJ16" s="487"/>
      <c r="AK16" s="487"/>
      <c r="AL16" s="487"/>
      <c r="AM16" s="982"/>
      <c r="AN16" s="982"/>
      <c r="AO16" s="982"/>
    </row>
    <row r="17" spans="2:41" s="339" customFormat="1" ht="15" hidden="1" customHeight="1" x14ac:dyDescent="0.25">
      <c r="B17" s="888"/>
      <c r="C17" s="603"/>
      <c r="D17" s="354"/>
      <c r="E17" s="354">
        <v>5</v>
      </c>
      <c r="F17" s="355"/>
      <c r="G17" s="648" t="s">
        <v>322</v>
      </c>
      <c r="H17" s="342">
        <f>+'P02 2025'!H5</f>
        <v>69510</v>
      </c>
      <c r="I17" s="342">
        <f>+'P02 2025'!AA5</f>
        <v>69510</v>
      </c>
      <c r="J17" s="342">
        <f t="shared" si="10"/>
        <v>0</v>
      </c>
      <c r="K17" s="693">
        <f t="shared" si="4"/>
        <v>0</v>
      </c>
      <c r="L17" s="342">
        <f>'P02 2025'!AC10</f>
        <v>968.15899999999999</v>
      </c>
      <c r="M17" s="997">
        <f t="shared" si="0"/>
        <v>1.3928341245863904E-2</v>
      </c>
      <c r="N17" s="342">
        <f>+I17-L17</f>
        <v>68541.841</v>
      </c>
      <c r="O17" s="997">
        <f t="shared" si="2"/>
        <v>0.98607165875413605</v>
      </c>
      <c r="P17" s="348">
        <v>0</v>
      </c>
      <c r="Q17" s="349">
        <v>0</v>
      </c>
      <c r="R17" s="997" t="str">
        <f t="shared" si="6"/>
        <v>0,00%</v>
      </c>
      <c r="S17" s="621">
        <v>0</v>
      </c>
      <c r="T17" s="621">
        <v>0</v>
      </c>
      <c r="U17" s="621">
        <v>0</v>
      </c>
      <c r="V17" s="666">
        <v>0</v>
      </c>
      <c r="W17" s="666"/>
      <c r="X17" s="666"/>
      <c r="Y17" s="666"/>
      <c r="Z17" s="666"/>
      <c r="AA17" s="666"/>
      <c r="AB17" s="666"/>
      <c r="AC17" s="666"/>
      <c r="AD17" s="666"/>
      <c r="AE17" s="666"/>
      <c r="AF17" s="1212"/>
      <c r="AG17" s="485"/>
      <c r="AH17" s="984"/>
      <c r="AI17" s="487"/>
      <c r="AJ17" s="487"/>
      <c r="AK17" s="487"/>
      <c r="AL17" s="487"/>
      <c r="AM17" s="982"/>
      <c r="AN17" s="982"/>
      <c r="AO17" s="982"/>
    </row>
    <row r="18" spans="2:41" s="339" customFormat="1" ht="15" hidden="1" customHeight="1" x14ac:dyDescent="0.25">
      <c r="B18" s="888"/>
      <c r="C18" s="603"/>
      <c r="D18" s="354"/>
      <c r="E18" s="354">
        <v>3</v>
      </c>
      <c r="F18" s="355"/>
      <c r="G18" s="648" t="s">
        <v>320</v>
      </c>
      <c r="H18" s="342">
        <f>+'P02 2025'!H6</f>
        <v>30520</v>
      </c>
      <c r="I18" s="342">
        <f>+'P02 2025'!AA6</f>
        <v>30520</v>
      </c>
      <c r="J18" s="342">
        <f t="shared" si="10"/>
        <v>4447.5600000000004</v>
      </c>
      <c r="K18" s="693">
        <f t="shared" si="4"/>
        <v>0.14572608125819136</v>
      </c>
      <c r="L18" s="342">
        <f>'P02 2025'!AC9</f>
        <v>26685.360000000001</v>
      </c>
      <c r="M18" s="997">
        <f t="shared" si="0"/>
        <v>0.87435648754914808</v>
      </c>
      <c r="N18" s="342">
        <f>+I18-L18</f>
        <v>3834.6399999999994</v>
      </c>
      <c r="O18" s="997">
        <f t="shared" si="2"/>
        <v>0.12564351245085187</v>
      </c>
      <c r="P18" s="348">
        <v>0</v>
      </c>
      <c r="Q18" s="349">
        <v>0</v>
      </c>
      <c r="R18" s="997" t="str">
        <f t="shared" si="6"/>
        <v>0,00%</v>
      </c>
      <c r="S18" s="621">
        <f>+'P02 2025'!I9</f>
        <v>2223.7800000000002</v>
      </c>
      <c r="T18" s="621"/>
      <c r="U18" s="621">
        <f>+'P02 2025'!R3</f>
        <v>2223.7800000000002</v>
      </c>
      <c r="V18" s="666">
        <v>0</v>
      </c>
      <c r="W18" s="666"/>
      <c r="X18" s="666"/>
      <c r="Y18" s="666"/>
      <c r="Z18" s="666"/>
      <c r="AA18" s="666"/>
      <c r="AB18" s="666"/>
      <c r="AC18" s="666"/>
      <c r="AD18" s="666"/>
      <c r="AE18" s="666"/>
      <c r="AF18" s="1212"/>
      <c r="AG18" s="485"/>
      <c r="AH18" s="983"/>
      <c r="AI18" s="487"/>
      <c r="AJ18" s="487"/>
      <c r="AK18" s="487"/>
      <c r="AL18" s="487"/>
      <c r="AM18" s="982"/>
      <c r="AN18" s="982"/>
      <c r="AO18" s="982"/>
    </row>
    <row r="19" spans="2:41" s="339" customFormat="1" ht="15" hidden="1" customHeight="1" x14ac:dyDescent="0.25">
      <c r="B19" s="888"/>
      <c r="C19" s="603"/>
      <c r="D19" s="354"/>
      <c r="E19" s="354">
        <v>4</v>
      </c>
      <c r="F19" s="355"/>
      <c r="G19" s="648" t="s">
        <v>321</v>
      </c>
      <c r="H19" s="342">
        <f>+'P02 2025'!H7</f>
        <v>1408</v>
      </c>
      <c r="I19" s="342">
        <f>+'P02 2025'!AA7</f>
        <v>1408</v>
      </c>
      <c r="J19" s="342">
        <f t="shared" si="10"/>
        <v>0</v>
      </c>
      <c r="K19" s="693">
        <f t="shared" si="4"/>
        <v>0</v>
      </c>
      <c r="L19" s="342">
        <v>0</v>
      </c>
      <c r="M19" s="997">
        <f t="shared" si="0"/>
        <v>0</v>
      </c>
      <c r="N19" s="342">
        <f>+I19-L19</f>
        <v>1408</v>
      </c>
      <c r="O19" s="997">
        <f t="shared" si="2"/>
        <v>1</v>
      </c>
      <c r="P19" s="348">
        <v>0</v>
      </c>
      <c r="Q19" s="349">
        <v>0</v>
      </c>
      <c r="R19" s="997" t="str">
        <f t="shared" si="6"/>
        <v>0,00%</v>
      </c>
      <c r="S19" s="621">
        <v>0</v>
      </c>
      <c r="T19" s="621">
        <v>0</v>
      </c>
      <c r="U19" s="621">
        <v>0</v>
      </c>
      <c r="V19" s="666">
        <v>0</v>
      </c>
      <c r="W19" s="666"/>
      <c r="X19" s="666"/>
      <c r="Y19" s="666"/>
      <c r="Z19" s="666"/>
      <c r="AA19" s="666"/>
      <c r="AB19" s="666"/>
      <c r="AC19" s="666"/>
      <c r="AD19" s="666"/>
      <c r="AE19" s="666"/>
      <c r="AF19" s="1212"/>
      <c r="AG19" s="485"/>
      <c r="AH19" s="984"/>
      <c r="AI19" s="487"/>
      <c r="AJ19" s="487"/>
      <c r="AK19" s="487"/>
      <c r="AL19" s="487"/>
      <c r="AM19" s="982"/>
      <c r="AN19" s="982"/>
      <c r="AO19" s="982"/>
    </row>
    <row r="20" spans="2:41" s="339" customFormat="1" ht="15" customHeight="1" x14ac:dyDescent="0.25">
      <c r="B20" s="961" t="s">
        <v>2</v>
      </c>
      <c r="C20" s="238">
        <v>3</v>
      </c>
      <c r="D20" s="47"/>
      <c r="E20" s="47"/>
      <c r="F20" s="47"/>
      <c r="G20" s="618" t="s">
        <v>305</v>
      </c>
      <c r="H20" s="195">
        <f>+H21+H27+H33+H35+H37</f>
        <v>2313590</v>
      </c>
      <c r="I20" s="195">
        <f>+I21+I27+I33+I35+I37</f>
        <v>2313590</v>
      </c>
      <c r="J20" s="195">
        <f t="shared" ref="J20" ca="1" si="11">SUMIF($S$3:$AF$14,"ok",S20:AF20)</f>
        <v>108377.84299999999</v>
      </c>
      <c r="K20" s="993">
        <f t="shared" ca="1" si="4"/>
        <v>4.6844014280836274E-2</v>
      </c>
      <c r="L20" s="195">
        <f>+L21+L27+L33+L37+L35</f>
        <v>129617.844</v>
      </c>
      <c r="M20" s="993">
        <f t="shared" si="0"/>
        <v>5.6024552319123094E-2</v>
      </c>
      <c r="N20" s="111">
        <f t="shared" si="1"/>
        <v>2183972.156</v>
      </c>
      <c r="O20" s="993">
        <f t="shared" si="2"/>
        <v>0.94397544768087693</v>
      </c>
      <c r="P20" s="109">
        <f>+P21+P27+P33+P35+P37</f>
        <v>6230504.5819999995</v>
      </c>
      <c r="Q20" s="109">
        <f>+Q21+Q27+Q33+Q35+Q37</f>
        <v>278793.71774200001</v>
      </c>
      <c r="R20" s="993">
        <f t="shared" si="6"/>
        <v>4.4746571336684082E-2</v>
      </c>
      <c r="S20" s="426">
        <f>+S21+S27+S35+S37</f>
        <v>0</v>
      </c>
      <c r="T20" s="426">
        <f>+T21+T27+T35+T37</f>
        <v>123503.655402</v>
      </c>
      <c r="U20" s="426">
        <f>+U21+U27+U33+U37</f>
        <v>108377.84299999999</v>
      </c>
      <c r="V20" s="426">
        <f>+V21+V27+V33+V37</f>
        <v>155290.06234</v>
      </c>
      <c r="W20" s="457">
        <f>+W21+W27+W33+W35+W37</f>
        <v>344073.41499999998</v>
      </c>
      <c r="X20" s="457">
        <f>+X21+X27+X37+X33+X36</f>
        <v>548738.01699999999</v>
      </c>
      <c r="Y20" s="457">
        <f>+Y21+Y27+Y33+Y37</f>
        <v>620630.51</v>
      </c>
      <c r="Z20" s="457">
        <f>+Z21+Z27+Z37</f>
        <v>221655.51800000001</v>
      </c>
      <c r="AA20" s="457">
        <f t="shared" ref="AA20:AC20" si="12">+AA21+AA27+AA33+AA35+AA37</f>
        <v>247373.647</v>
      </c>
      <c r="AB20" s="457">
        <f t="shared" si="12"/>
        <v>290585.08500000002</v>
      </c>
      <c r="AC20" s="457">
        <f t="shared" si="12"/>
        <v>197302.51500000001</v>
      </c>
      <c r="AD20" s="457">
        <f>AD21+AD27+AD33+AD35+AD37</f>
        <v>133855.99300000002</v>
      </c>
      <c r="AE20" s="457">
        <f>+AE21+AE27+AE33+AE37+AE35</f>
        <v>790069.5340000001</v>
      </c>
      <c r="AF20" s="457">
        <f>+AF21+AF27+AF33+AF37+AF35</f>
        <v>1963623.1230000001</v>
      </c>
      <c r="AG20" s="485"/>
      <c r="AH20" s="983"/>
      <c r="AI20" s="487"/>
      <c r="AJ20" s="487"/>
      <c r="AK20" s="487"/>
      <c r="AL20" s="487"/>
      <c r="AM20" s="982"/>
      <c r="AN20" s="982"/>
      <c r="AO20" s="982"/>
    </row>
    <row r="21" spans="2:41" s="653" customFormat="1" ht="15" customHeight="1" x14ac:dyDescent="0.25">
      <c r="B21" s="555" t="s">
        <v>2</v>
      </c>
      <c r="C21" s="603"/>
      <c r="D21" s="354">
        <v>26</v>
      </c>
      <c r="E21" s="354"/>
      <c r="F21" s="354" t="s">
        <v>215</v>
      </c>
      <c r="G21" s="588" t="s">
        <v>138</v>
      </c>
      <c r="H21" s="342">
        <f>SUM(H22:H26)</f>
        <v>1572691</v>
      </c>
      <c r="I21" s="342">
        <f>SUM(I22:I26)</f>
        <v>1572691</v>
      </c>
      <c r="J21" s="342">
        <f ca="1">SUMIF($S$3:$AF$14,"ok",S21:AF21)</f>
        <v>18558.999</v>
      </c>
      <c r="K21" s="693">
        <f t="shared" ca="1" si="4"/>
        <v>1.1800791763925653E-2</v>
      </c>
      <c r="L21" s="342">
        <f>SUM(L22:L26)</f>
        <v>37459</v>
      </c>
      <c r="M21" s="997">
        <f t="shared" si="0"/>
        <v>2.3818410609585734E-2</v>
      </c>
      <c r="N21" s="349">
        <f t="shared" si="1"/>
        <v>1535232</v>
      </c>
      <c r="O21" s="997">
        <f t="shared" si="2"/>
        <v>0.97618158939041422</v>
      </c>
      <c r="P21" s="348">
        <f>SUM(P22:P26)</f>
        <v>1613016</v>
      </c>
      <c r="Q21" s="348">
        <f>SUM(Q22:Q26)</f>
        <v>189900.32262200001</v>
      </c>
      <c r="R21" s="997">
        <f t="shared" ref="R21:R27" si="13">IFERROR(Q21/P21,"0,00%")</f>
        <v>0.11772996834625324</v>
      </c>
      <c r="S21" s="621">
        <f>SUM(S22:S26)</f>
        <v>0</v>
      </c>
      <c r="T21" s="621">
        <f>SUM(T22:T26)</f>
        <v>106440.3</v>
      </c>
      <c r="U21" s="241">
        <f>+SUM(U22:U26)</f>
        <v>18558.999</v>
      </c>
      <c r="V21" s="241">
        <f>+SUM(V22:V26)</f>
        <v>83460.022622000004</v>
      </c>
      <c r="W21" s="241">
        <f>SUM(W22:W26)</f>
        <v>141138.38399999999</v>
      </c>
      <c r="X21" s="241">
        <f>+SUM(X22:X26)</f>
        <v>56570</v>
      </c>
      <c r="Y21" s="241">
        <f>SUM(Y22:Y26)</f>
        <v>9330</v>
      </c>
      <c r="Z21" s="667">
        <f>+SUM(Z22:Z26)</f>
        <v>10330</v>
      </c>
      <c r="AA21" s="667">
        <f t="shared" ref="AA21:AF21" si="14">SUM(AA22:AA26)</f>
        <v>68605</v>
      </c>
      <c r="AB21" s="630">
        <f t="shared" si="14"/>
        <v>238051.33100000001</v>
      </c>
      <c r="AC21" s="241">
        <f>SUM(AC22:AC26)</f>
        <v>59542.5</v>
      </c>
      <c r="AD21" s="241">
        <f>SUM(AD22:AD26)</f>
        <v>26364.222999999998</v>
      </c>
      <c r="AE21" s="457">
        <f t="shared" si="14"/>
        <v>87761.25</v>
      </c>
      <c r="AF21" s="457">
        <f t="shared" si="14"/>
        <v>610251.19800000009</v>
      </c>
      <c r="AG21" s="485"/>
      <c r="AH21" s="983"/>
      <c r="AI21" s="487"/>
      <c r="AJ21" s="487"/>
      <c r="AK21" s="487"/>
      <c r="AL21" s="487"/>
      <c r="AM21" s="982"/>
      <c r="AN21" s="341"/>
      <c r="AO21" s="341"/>
    </row>
    <row r="22" spans="2:41" s="339" customFormat="1" ht="15" hidden="1" customHeight="1" x14ac:dyDescent="0.2">
      <c r="B22" s="597"/>
      <c r="C22" s="489"/>
      <c r="D22" s="461"/>
      <c r="E22" s="354">
        <v>1</v>
      </c>
      <c r="F22" s="404"/>
      <c r="G22" s="588" t="s">
        <v>267</v>
      </c>
      <c r="H22" s="351">
        <f>+'P02 2025'!H12</f>
        <v>1120879</v>
      </c>
      <c r="I22" s="343">
        <f>+'P02 2025'!AA13</f>
        <v>1120879</v>
      </c>
      <c r="J22" s="342">
        <f>SUMIF(S$3:$AF3,"ok",S22:AF22)</f>
        <v>14550</v>
      </c>
      <c r="K22" s="693">
        <f t="shared" si="4"/>
        <v>1.2980883752840405E-2</v>
      </c>
      <c r="L22" s="343">
        <f>'P02 2025'!AC18</f>
        <v>14550</v>
      </c>
      <c r="M22" s="997">
        <f t="shared" ref="M22:M51" si="15">IFERROR(+L22/I22,0)</f>
        <v>1.2980883752840405E-2</v>
      </c>
      <c r="N22" s="344">
        <f>+I22-L22</f>
        <v>1106329</v>
      </c>
      <c r="O22" s="997">
        <f t="shared" ref="O22:O47" si="16">+IFERROR(N22/I22,0)</f>
        <v>0.98701911624715954</v>
      </c>
      <c r="P22" s="348">
        <f>+'P02 2024'!Z3</f>
        <v>1176504.486</v>
      </c>
      <c r="Q22" s="348">
        <f>SUMIF($S$3:$AF$3,"SI",S22:AF22)</f>
        <v>186430.46262200002</v>
      </c>
      <c r="R22" s="997">
        <f t="shared" si="13"/>
        <v>0.15846132746662558</v>
      </c>
      <c r="S22" s="621">
        <v>0</v>
      </c>
      <c r="T22" s="621">
        <f>+'P02 2024'!J9</f>
        <v>106440.3</v>
      </c>
      <c r="U22" s="621">
        <f>+'P02 2025'!R6</f>
        <v>14550</v>
      </c>
      <c r="V22" s="1213">
        <f>+'P02 2024'!Q4</f>
        <v>79990.162622000003</v>
      </c>
      <c r="W22" s="630">
        <f>+'P02 2024'!AI4</f>
        <v>137808.38399999999</v>
      </c>
      <c r="X22" s="630">
        <f>+'P02 2024'!BA4</f>
        <v>53240</v>
      </c>
      <c r="Y22" s="630">
        <f>+'P02 2024'!BS4</f>
        <v>6000</v>
      </c>
      <c r="Z22" s="631">
        <f>+'P02 2024'!CL3</f>
        <v>7000</v>
      </c>
      <c r="AA22" s="630">
        <f>+'P02 2024'!DD4</f>
        <v>65275</v>
      </c>
      <c r="AB22" s="630">
        <f>+'P02 2024'!DV3</f>
        <v>232561.875</v>
      </c>
      <c r="AC22" s="630">
        <f>+'P02 2024'!EN3</f>
        <v>56212.5</v>
      </c>
      <c r="AD22" s="630">
        <v>21000</v>
      </c>
      <c r="AE22" s="345">
        <f>+'P02 2024'!GA3</f>
        <v>87761.25</v>
      </c>
      <c r="AF22" s="345">
        <f>+'P02 2024'!GS6</f>
        <v>312975</v>
      </c>
      <c r="AG22" s="485"/>
      <c r="AM22" s="341"/>
      <c r="AN22" s="341"/>
      <c r="AO22" s="341"/>
    </row>
    <row r="23" spans="2:41" s="339" customFormat="1" ht="15" hidden="1" customHeight="1" x14ac:dyDescent="0.2">
      <c r="B23" s="597"/>
      <c r="C23" s="489"/>
      <c r="D23" s="461"/>
      <c r="E23" s="354">
        <v>2</v>
      </c>
      <c r="F23" s="404"/>
      <c r="G23" s="588" t="s">
        <v>291</v>
      </c>
      <c r="H23" s="351">
        <f>+'P02 2025'!H14</f>
        <v>140000</v>
      </c>
      <c r="I23" s="343">
        <f>+'P02 2025'!AA15</f>
        <v>140000</v>
      </c>
      <c r="J23" s="342">
        <f ca="1">SUMIF(S$3:$AF4,"ok",S23:AF23)</f>
        <v>0</v>
      </c>
      <c r="K23" s="693">
        <f t="shared" ca="1" si="4"/>
        <v>0</v>
      </c>
      <c r="L23" s="343">
        <v>0</v>
      </c>
      <c r="M23" s="997">
        <f t="shared" si="15"/>
        <v>0</v>
      </c>
      <c r="N23" s="344">
        <f>+I23-L23</f>
        <v>140000</v>
      </c>
      <c r="O23" s="997">
        <f t="shared" si="16"/>
        <v>1</v>
      </c>
      <c r="P23" s="348">
        <f>+'P02 2024'!Z6</f>
        <v>52100</v>
      </c>
      <c r="Q23" s="348">
        <f>SUMIF($S$3:$AF$3,"SI",S23:AF23)</f>
        <v>0</v>
      </c>
      <c r="R23" s="997">
        <f t="shared" si="13"/>
        <v>0</v>
      </c>
      <c r="S23" s="621">
        <v>0</v>
      </c>
      <c r="T23" s="621">
        <v>0</v>
      </c>
      <c r="U23" s="621">
        <v>0</v>
      </c>
      <c r="V23" s="1213">
        <v>0</v>
      </c>
      <c r="W23" s="630">
        <v>0</v>
      </c>
      <c r="X23" s="630">
        <v>0</v>
      </c>
      <c r="Y23" s="630">
        <v>0</v>
      </c>
      <c r="Z23" s="631">
        <v>0</v>
      </c>
      <c r="AA23" s="630">
        <v>0</v>
      </c>
      <c r="AB23" s="630">
        <v>0</v>
      </c>
      <c r="AC23" s="630">
        <v>0</v>
      </c>
      <c r="AD23" s="630">
        <v>0</v>
      </c>
      <c r="AE23" s="241">
        <v>0</v>
      </c>
      <c r="AF23" s="345">
        <f>+'P02 2024'!GS5</f>
        <v>45000</v>
      </c>
      <c r="AG23" s="485"/>
      <c r="AM23" s="341"/>
      <c r="AN23" s="341"/>
      <c r="AO23" s="341"/>
    </row>
    <row r="24" spans="2:41" s="339" customFormat="1" ht="15" hidden="1" customHeight="1" x14ac:dyDescent="0.2">
      <c r="B24" s="597"/>
      <c r="C24" s="489"/>
      <c r="D24" s="461"/>
      <c r="E24" s="354">
        <v>3</v>
      </c>
      <c r="F24" s="404"/>
      <c r="G24" s="588" t="s">
        <v>268</v>
      </c>
      <c r="H24" s="351">
        <f>+'P02 2025'!H13</f>
        <v>240000</v>
      </c>
      <c r="I24" s="343">
        <f>+'P02 2025'!AA14</f>
        <v>240000</v>
      </c>
      <c r="J24" s="342">
        <f ca="1">SUMIF(S$3:$AF5,"ok",S24:AF24)</f>
        <v>0</v>
      </c>
      <c r="K24" s="693">
        <f t="shared" ca="1" si="4"/>
        <v>0</v>
      </c>
      <c r="L24" s="343">
        <v>0</v>
      </c>
      <c r="M24" s="997">
        <f t="shared" si="15"/>
        <v>0</v>
      </c>
      <c r="N24" s="344">
        <f>+I24-L24</f>
        <v>240000</v>
      </c>
      <c r="O24" s="997">
        <f t="shared" si="16"/>
        <v>1</v>
      </c>
      <c r="P24" s="348">
        <f>+'P02 2024'!Z4</f>
        <v>312600</v>
      </c>
      <c r="Q24" s="348">
        <f>SUMIF($S$3:$AF$3,"SI",S24:AF24)</f>
        <v>0</v>
      </c>
      <c r="R24" s="997">
        <f t="shared" si="13"/>
        <v>0</v>
      </c>
      <c r="S24" s="621">
        <v>0</v>
      </c>
      <c r="T24" s="621">
        <v>0</v>
      </c>
      <c r="U24" s="621">
        <v>0</v>
      </c>
      <c r="V24" s="1213">
        <v>0</v>
      </c>
      <c r="W24" s="630">
        <v>0</v>
      </c>
      <c r="X24" s="630">
        <v>0</v>
      </c>
      <c r="Y24" s="630">
        <v>0</v>
      </c>
      <c r="Z24" s="630">
        <v>0</v>
      </c>
      <c r="AA24" s="630">
        <v>0</v>
      </c>
      <c r="AB24" s="630">
        <v>0</v>
      </c>
      <c r="AC24" s="630">
        <v>0</v>
      </c>
      <c r="AD24" s="630">
        <v>0</v>
      </c>
      <c r="AE24" s="241">
        <v>0</v>
      </c>
      <c r="AF24" s="345">
        <f>+'P02 2024'!GS4</f>
        <v>234751.47200000001</v>
      </c>
      <c r="AG24" s="485"/>
      <c r="AM24" s="341"/>
      <c r="AN24" s="341"/>
      <c r="AO24" s="341"/>
    </row>
    <row r="25" spans="2:41" s="339" customFormat="1" ht="15" hidden="1" customHeight="1" x14ac:dyDescent="0.25">
      <c r="B25" s="1214"/>
      <c r="C25" s="656"/>
      <c r="D25" s="486"/>
      <c r="E25" s="354">
        <v>4</v>
      </c>
      <c r="F25" s="404"/>
      <c r="G25" s="588" t="s">
        <v>588</v>
      </c>
      <c r="H25" s="342">
        <v>0</v>
      </c>
      <c r="I25" s="342">
        <v>0</v>
      </c>
      <c r="J25" s="342">
        <f ca="1">SUMIF(S$3:$AF6,"ok",S25:AF25)</f>
        <v>0</v>
      </c>
      <c r="K25" s="693">
        <f t="shared" ca="1" si="4"/>
        <v>0</v>
      </c>
      <c r="L25" s="349">
        <v>0</v>
      </c>
      <c r="M25" s="997">
        <f t="shared" si="15"/>
        <v>0</v>
      </c>
      <c r="N25" s="344">
        <f>+I25-L25</f>
        <v>0</v>
      </c>
      <c r="O25" s="997">
        <f t="shared" si="16"/>
        <v>0</v>
      </c>
      <c r="P25" s="348">
        <v>0</v>
      </c>
      <c r="Q25" s="348">
        <f>SUMIF($S$3:$AF$3,"SI",S25:AF25)</f>
        <v>0</v>
      </c>
      <c r="R25" s="997" t="str">
        <f t="shared" si="13"/>
        <v>0,00%</v>
      </c>
      <c r="S25" s="621">
        <v>0</v>
      </c>
      <c r="T25" s="621">
        <v>0</v>
      </c>
      <c r="U25" s="621">
        <v>0</v>
      </c>
      <c r="V25" s="1213">
        <v>0</v>
      </c>
      <c r="W25" s="630">
        <v>0</v>
      </c>
      <c r="X25" s="630">
        <v>0</v>
      </c>
      <c r="Y25" s="630">
        <v>0</v>
      </c>
      <c r="Z25" s="630">
        <v>0</v>
      </c>
      <c r="AA25" s="630">
        <v>0</v>
      </c>
      <c r="AB25" s="630">
        <v>0</v>
      </c>
      <c r="AC25" s="630">
        <v>0</v>
      </c>
      <c r="AD25" s="630">
        <v>0</v>
      </c>
      <c r="AE25" s="241">
        <v>0</v>
      </c>
      <c r="AF25" s="345">
        <v>0</v>
      </c>
      <c r="AG25" s="485"/>
      <c r="AM25" s="341"/>
      <c r="AN25" s="341"/>
      <c r="AO25" s="341"/>
    </row>
    <row r="26" spans="2:41" s="339" customFormat="1" ht="15" hidden="1" customHeight="1" x14ac:dyDescent="0.2">
      <c r="B26" s="1214"/>
      <c r="C26" s="656"/>
      <c r="D26" s="486"/>
      <c r="E26" s="354">
        <v>5</v>
      </c>
      <c r="F26" s="404"/>
      <c r="G26" s="588" t="s">
        <v>640</v>
      </c>
      <c r="H26" s="351">
        <f>+'P02 2025'!H15</f>
        <v>71812</v>
      </c>
      <c r="I26" s="342">
        <f>+'P02 2025'!AA16</f>
        <v>71812</v>
      </c>
      <c r="J26" s="342">
        <f ca="1">SUMIF(S$3:$AF7,"ok",S26:AF26)</f>
        <v>4008.9989999999998</v>
      </c>
      <c r="K26" s="693">
        <f t="shared" ca="1" si="4"/>
        <v>5.5826310365955548E-2</v>
      </c>
      <c r="L26" s="350">
        <f>'P02 2025'!AC17</f>
        <v>22909</v>
      </c>
      <c r="M26" s="997">
        <f t="shared" si="15"/>
        <v>0.31901353534228261</v>
      </c>
      <c r="N26" s="344">
        <f>+I26-L26</f>
        <v>48903</v>
      </c>
      <c r="O26" s="997">
        <f t="shared" si="16"/>
        <v>0.68098646465771739</v>
      </c>
      <c r="P26" s="348">
        <f>+'P02 2024'!Z5</f>
        <v>71811.513999999996</v>
      </c>
      <c r="Q26" s="348">
        <f>SUMIF($S$3:$AF$3,"SI",S26:AF26)</f>
        <v>3469.86</v>
      </c>
      <c r="R26" s="997">
        <f t="shared" si="13"/>
        <v>4.8318992411161256E-2</v>
      </c>
      <c r="S26" s="621">
        <v>0</v>
      </c>
      <c r="T26" s="621">
        <v>0</v>
      </c>
      <c r="U26" s="621">
        <f>+'P02 2025'!R5</f>
        <v>4008.9989999999998</v>
      </c>
      <c r="V26" s="1215">
        <f>+'P02 2024'!Q3</f>
        <v>3469.86</v>
      </c>
      <c r="W26" s="630">
        <f>+'P02 2024'!AI3</f>
        <v>3330</v>
      </c>
      <c r="X26" s="630">
        <f>+'P02 2024'!BA3</f>
        <v>3330</v>
      </c>
      <c r="Y26" s="630">
        <f>+'P02 2024'!BS3</f>
        <v>3330</v>
      </c>
      <c r="Z26" s="630">
        <f>+'P02 2024'!CL4</f>
        <v>3330</v>
      </c>
      <c r="AA26" s="630">
        <f>+'P02 2024'!DD3</f>
        <v>3330</v>
      </c>
      <c r="AB26" s="630">
        <f>+'P02 2024'!DV4</f>
        <v>5489.4560000000001</v>
      </c>
      <c r="AC26" s="630">
        <f>+'P02 2024'!EN4</f>
        <v>3330</v>
      </c>
      <c r="AD26" s="630">
        <v>5364.223</v>
      </c>
      <c r="AE26" s="241">
        <v>0</v>
      </c>
      <c r="AF26" s="345">
        <f>+'P02 2024'!GS3</f>
        <v>17524.725999999999</v>
      </c>
      <c r="AG26" s="485"/>
      <c r="AM26" s="341"/>
      <c r="AN26" s="341"/>
      <c r="AO26" s="341"/>
    </row>
    <row r="27" spans="2:41" s="339" customFormat="1" ht="15" customHeight="1" x14ac:dyDescent="0.25">
      <c r="B27" s="555"/>
      <c r="C27" s="603"/>
      <c r="D27" s="354">
        <v>33</v>
      </c>
      <c r="E27" s="354"/>
      <c r="F27" s="354" t="s">
        <v>297</v>
      </c>
      <c r="G27" s="588" t="s">
        <v>292</v>
      </c>
      <c r="H27" s="342">
        <f>SUM(H28:H32)</f>
        <v>0</v>
      </c>
      <c r="I27" s="342">
        <f>SUM(I28:I32)</f>
        <v>0</v>
      </c>
      <c r="J27" s="342">
        <f ca="1">SUMIF(S$3:$AF8,"ok",S27:AF27)</f>
        <v>0</v>
      </c>
      <c r="K27" s="693">
        <f t="shared" ca="1" si="4"/>
        <v>0</v>
      </c>
      <c r="L27" s="343">
        <f>SUM(L28:L32)</f>
        <v>0</v>
      </c>
      <c r="M27" s="997">
        <f t="shared" si="15"/>
        <v>0</v>
      </c>
      <c r="N27" s="343">
        <f t="shared" si="1"/>
        <v>0</v>
      </c>
      <c r="O27" s="997">
        <f t="shared" si="16"/>
        <v>0</v>
      </c>
      <c r="P27" s="348">
        <f>SUM(P28:P32)</f>
        <v>2749951.5780000002</v>
      </c>
      <c r="Q27" s="348">
        <f>SUM(Q28:Q32)</f>
        <v>20350.635119999999</v>
      </c>
      <c r="R27" s="997">
        <f t="shared" si="13"/>
        <v>7.4003612582883077E-3</v>
      </c>
      <c r="S27" s="621">
        <f>SUM(S28:S32)</f>
        <v>0</v>
      </c>
      <c r="T27" s="621">
        <f t="shared" ref="T27:Y27" si="17">SUM(T28:T32)</f>
        <v>17063.355402000001</v>
      </c>
      <c r="U27" s="349">
        <f t="shared" si="17"/>
        <v>0</v>
      </c>
      <c r="V27" s="349">
        <f t="shared" si="17"/>
        <v>3287.2797180000007</v>
      </c>
      <c r="W27" s="349">
        <f t="shared" si="17"/>
        <v>192935.03099999999</v>
      </c>
      <c r="X27" s="345">
        <f t="shared" si="17"/>
        <v>152168.01700000002</v>
      </c>
      <c r="Y27" s="345">
        <f t="shared" si="17"/>
        <v>494336.81</v>
      </c>
      <c r="Z27" s="345">
        <f t="shared" ref="Z27:AB27" si="18">+SUM(Z28:Z32)</f>
        <v>133565.03100000002</v>
      </c>
      <c r="AA27" s="345">
        <f t="shared" si="18"/>
        <v>126908.97099999999</v>
      </c>
      <c r="AB27" s="345">
        <f t="shared" si="18"/>
        <v>26225.160000000003</v>
      </c>
      <c r="AC27" s="345">
        <f>SUM(AC28:AC32)</f>
        <v>76546.014999999999</v>
      </c>
      <c r="AD27" s="345">
        <f>SUM(AD28:AD32)</f>
        <v>62161.770000000004</v>
      </c>
      <c r="AE27" s="345">
        <f>+SUM(AE28:AE32)</f>
        <v>537198.2840000001</v>
      </c>
      <c r="AF27" s="345">
        <f>SUM(AF28:AF32)</f>
        <v>648574.09499999997</v>
      </c>
      <c r="AG27" s="485"/>
    </row>
    <row r="28" spans="2:41" s="339" customFormat="1" ht="15" hidden="1" customHeight="1" x14ac:dyDescent="0.2">
      <c r="B28" s="597"/>
      <c r="C28" s="489"/>
      <c r="D28" s="461"/>
      <c r="E28" s="354">
        <v>1</v>
      </c>
      <c r="F28" s="404"/>
      <c r="G28" s="588" t="s">
        <v>334</v>
      </c>
      <c r="H28" s="342">
        <v>0</v>
      </c>
      <c r="I28" s="342">
        <v>0</v>
      </c>
      <c r="J28" s="342">
        <f ca="1">SUMIF(S$3:$AF9,"ok",S28:AF28)</f>
        <v>0</v>
      </c>
      <c r="K28" s="693">
        <f t="shared" ca="1" si="4"/>
        <v>0</v>
      </c>
      <c r="L28" s="342">
        <v>0</v>
      </c>
      <c r="M28" s="997">
        <f t="shared" si="15"/>
        <v>0</v>
      </c>
      <c r="N28" s="343">
        <f t="shared" si="1"/>
        <v>0</v>
      </c>
      <c r="O28" s="997">
        <f t="shared" si="16"/>
        <v>0</v>
      </c>
      <c r="P28" s="348">
        <f>+'P02 2024'!Z10</f>
        <v>2036077.378</v>
      </c>
      <c r="Q28" s="348">
        <f>SUMIF($S$3:$AF$3,"SI",S28:AF28)</f>
        <v>0</v>
      </c>
      <c r="R28" s="997">
        <f t="shared" ref="R28:R43" si="19">IFERROR(Q28/P28,"0,00%")</f>
        <v>0</v>
      </c>
      <c r="S28" s="621">
        <v>0</v>
      </c>
      <c r="T28" s="621">
        <v>0</v>
      </c>
      <c r="U28" s="621">
        <v>0</v>
      </c>
      <c r="V28" s="1215">
        <v>0</v>
      </c>
      <c r="W28" s="630">
        <f>+'P02 2024'!AI6</f>
        <v>189651.37599999999</v>
      </c>
      <c r="X28" s="630">
        <f>+'P02 2024'!BA5</f>
        <v>110367.16499999999</v>
      </c>
      <c r="Y28" s="630">
        <f>+'P02 2024'!BS8</f>
        <v>488757.4</v>
      </c>
      <c r="Z28" s="632">
        <f>+'P02 2024'!CL6</f>
        <v>131406.02100000001</v>
      </c>
      <c r="AA28" s="630">
        <f>+'P02 2024'!DD6</f>
        <v>124749.961</v>
      </c>
      <c r="AB28" s="630">
        <f>+'P02 2024'!DV6</f>
        <v>24066.15</v>
      </c>
      <c r="AC28" s="630">
        <f>+'P02 2024'!EN7</f>
        <v>46713.5</v>
      </c>
      <c r="AD28" s="633">
        <v>56156.084999999999</v>
      </c>
      <c r="AE28" s="345">
        <f>+'P02 2024'!GA7</f>
        <v>490132.32500000001</v>
      </c>
      <c r="AF28" s="345">
        <f>+'P02 2024'!GS9</f>
        <v>593034.51399999997</v>
      </c>
      <c r="AG28" s="485"/>
    </row>
    <row r="29" spans="2:41" s="339" customFormat="1" ht="15" hidden="1" customHeight="1" x14ac:dyDescent="0.25">
      <c r="B29" s="597"/>
      <c r="C29" s="489"/>
      <c r="D29" s="461"/>
      <c r="E29" s="354">
        <v>2</v>
      </c>
      <c r="F29" s="404"/>
      <c r="G29" s="588" t="s">
        <v>335</v>
      </c>
      <c r="H29" s="342">
        <v>0</v>
      </c>
      <c r="I29" s="342">
        <v>0</v>
      </c>
      <c r="J29" s="342">
        <f ca="1">SUMIF(S$3:$AF10,"ok",S29:AF29)</f>
        <v>0</v>
      </c>
      <c r="K29" s="693">
        <f t="shared" ca="1" si="4"/>
        <v>0</v>
      </c>
      <c r="L29" s="342">
        <v>0</v>
      </c>
      <c r="M29" s="997">
        <f t="shared" si="15"/>
        <v>0</v>
      </c>
      <c r="N29" s="343">
        <f t="shared" si="1"/>
        <v>0</v>
      </c>
      <c r="O29" s="997">
        <f t="shared" si="16"/>
        <v>0</v>
      </c>
      <c r="P29" s="348">
        <f>+'P02 2024'!Z11</f>
        <v>608178.93000000005</v>
      </c>
      <c r="Q29" s="348">
        <f>SUMIF($S$3:$AF$3,"SI",S29:AF29)</f>
        <v>14813.666982000001</v>
      </c>
      <c r="R29" s="997">
        <f t="shared" si="19"/>
        <v>2.4357415640821362E-2</v>
      </c>
      <c r="S29" s="621">
        <v>0</v>
      </c>
      <c r="T29" s="621">
        <f>+'P02 2024'!J15</f>
        <v>14813.666982000001</v>
      </c>
      <c r="U29" s="621">
        <v>0</v>
      </c>
      <c r="V29" s="1213">
        <v>0</v>
      </c>
      <c r="W29" s="630">
        <f>+'P02 2024'!AI7</f>
        <v>892.59500000000003</v>
      </c>
      <c r="X29" s="630">
        <f>+'P02 2024'!BA6</f>
        <v>38562.654999999999</v>
      </c>
      <c r="Y29" s="630">
        <f>+'P02 2024'!BS6</f>
        <v>128.47999999999999</v>
      </c>
      <c r="Z29" s="630">
        <v>0</v>
      </c>
      <c r="AA29" s="630">
        <v>0</v>
      </c>
      <c r="AB29" s="630">
        <v>0</v>
      </c>
      <c r="AC29" s="630">
        <f>+'P02 2024'!EN6</f>
        <v>27673.505000000001</v>
      </c>
      <c r="AD29" s="630">
        <v>0</v>
      </c>
      <c r="AE29" s="345">
        <f>+'P02 2024'!GA5</f>
        <v>44168.22</v>
      </c>
      <c r="AF29" s="345">
        <f>+'P02 2024'!GS10</f>
        <v>51263.561000000002</v>
      </c>
      <c r="AG29" s="485"/>
    </row>
    <row r="30" spans="2:41" s="339" customFormat="1" ht="15" hidden="1" customHeight="1" x14ac:dyDescent="0.2">
      <c r="B30" s="597"/>
      <c r="C30" s="489"/>
      <c r="D30" s="461"/>
      <c r="E30" s="354">
        <v>3</v>
      </c>
      <c r="F30" s="404"/>
      <c r="G30" s="588" t="s">
        <v>293</v>
      </c>
      <c r="H30" s="342">
        <v>0</v>
      </c>
      <c r="I30" s="342">
        <v>0</v>
      </c>
      <c r="J30" s="342">
        <f ca="1">SUMIF(S$3:$AF11,"ok",S30:AF30)</f>
        <v>0</v>
      </c>
      <c r="K30" s="693">
        <f t="shared" ca="1" si="4"/>
        <v>0</v>
      </c>
      <c r="L30" s="342">
        <v>0</v>
      </c>
      <c r="M30" s="997">
        <f t="shared" si="15"/>
        <v>0</v>
      </c>
      <c r="N30" s="343">
        <f t="shared" si="1"/>
        <v>0</v>
      </c>
      <c r="O30" s="997">
        <f t="shared" si="16"/>
        <v>0</v>
      </c>
      <c r="P30" s="348">
        <f>+'P02 2024'!Z13</f>
        <v>31801.84</v>
      </c>
      <c r="Q30" s="348">
        <f>SUMIF($S$3:$AF$3,"SI",S30:AF30)</f>
        <v>4499.3768400000008</v>
      </c>
      <c r="R30" s="997">
        <f t="shared" si="19"/>
        <v>0.14148165137614682</v>
      </c>
      <c r="S30" s="621">
        <v>0</v>
      </c>
      <c r="T30" s="621">
        <f>+'P02 2024'!J17</f>
        <v>2249.6884200000004</v>
      </c>
      <c r="U30" s="621">
        <v>0</v>
      </c>
      <c r="V30" s="1215">
        <f>+'P02 2024'!Q6</f>
        <v>2249.6884200000004</v>
      </c>
      <c r="W30" s="630">
        <f>+'P02 2024'!AI5</f>
        <v>2159.0100000000002</v>
      </c>
      <c r="X30" s="630">
        <f>+'P02 2024'!BA7</f>
        <v>2159.0100000000002</v>
      </c>
      <c r="Y30" s="630">
        <f>+'P02 2024'!BS5</f>
        <v>2159.0100000000002</v>
      </c>
      <c r="Z30" s="632">
        <f>+'P02 2024'!CL5</f>
        <v>2159.0100000000002</v>
      </c>
      <c r="AA30" s="630">
        <f>+'P02 2024'!DD5</f>
        <v>2159.0100000000002</v>
      </c>
      <c r="AB30" s="630">
        <f>+'P02 2024'!DV5</f>
        <v>2159.0100000000002</v>
      </c>
      <c r="AC30" s="630">
        <f>+'P02 2024'!EN5</f>
        <v>2159.0100000000002</v>
      </c>
      <c r="AD30" s="633">
        <v>2159.0100000000002</v>
      </c>
      <c r="AE30" s="345">
        <f>+'P02 2024'!GA6</f>
        <v>2159.0100000000002</v>
      </c>
      <c r="AF30" s="345">
        <f>+'P02 2024'!GS7</f>
        <v>2159.0100000000002</v>
      </c>
      <c r="AG30" s="485"/>
    </row>
    <row r="31" spans="2:41" s="339" customFormat="1" ht="15" hidden="1" customHeight="1" x14ac:dyDescent="0.25">
      <c r="B31" s="597"/>
      <c r="C31" s="489"/>
      <c r="D31" s="461"/>
      <c r="E31" s="354">
        <v>4</v>
      </c>
      <c r="F31" s="404"/>
      <c r="G31" s="588" t="s">
        <v>294</v>
      </c>
      <c r="H31" s="342">
        <v>0</v>
      </c>
      <c r="I31" s="342">
        <v>0</v>
      </c>
      <c r="J31" s="342">
        <f ca="1">SUMIF(S$3:$AF12,"ok",S31:AF31)</f>
        <v>0</v>
      </c>
      <c r="K31" s="693">
        <f t="shared" ca="1" si="4"/>
        <v>0</v>
      </c>
      <c r="L31" s="342">
        <v>0</v>
      </c>
      <c r="M31" s="997">
        <f t="shared" si="15"/>
        <v>0</v>
      </c>
      <c r="N31" s="343">
        <f t="shared" si="1"/>
        <v>0</v>
      </c>
      <c r="O31" s="997">
        <f t="shared" si="16"/>
        <v>0</v>
      </c>
      <c r="P31" s="348">
        <f>+'P02 2024'!Z14</f>
        <v>8336</v>
      </c>
      <c r="Q31" s="348">
        <f>SUMIF($S$3:$AF$3,"SI",S31:AF31)</f>
        <v>0</v>
      </c>
      <c r="R31" s="997">
        <f t="shared" si="19"/>
        <v>0</v>
      </c>
      <c r="S31" s="621">
        <v>0</v>
      </c>
      <c r="T31" s="621">
        <v>0</v>
      </c>
      <c r="U31" s="621">
        <v>0</v>
      </c>
      <c r="V31" s="1213">
        <v>0</v>
      </c>
      <c r="W31" s="630">
        <v>0</v>
      </c>
      <c r="X31" s="630">
        <v>0</v>
      </c>
      <c r="Y31" s="630">
        <v>0</v>
      </c>
      <c r="Z31" s="630">
        <v>0</v>
      </c>
      <c r="AA31" s="630">
        <v>0</v>
      </c>
      <c r="AB31" s="630">
        <v>0</v>
      </c>
      <c r="AC31" s="630">
        <v>0</v>
      </c>
      <c r="AD31" s="630">
        <v>0</v>
      </c>
      <c r="AE31" s="345">
        <v>0</v>
      </c>
      <c r="AF31" s="345">
        <v>0</v>
      </c>
      <c r="AG31" s="485"/>
    </row>
    <row r="32" spans="2:41" s="339" customFormat="1" ht="15" hidden="1" customHeight="1" x14ac:dyDescent="0.2">
      <c r="B32" s="597"/>
      <c r="C32" s="489"/>
      <c r="D32" s="461"/>
      <c r="E32" s="354">
        <v>5</v>
      </c>
      <c r="F32" s="404"/>
      <c r="G32" s="588" t="s">
        <v>295</v>
      </c>
      <c r="H32" s="342">
        <v>0</v>
      </c>
      <c r="I32" s="342">
        <v>0</v>
      </c>
      <c r="J32" s="342">
        <f ca="1">SUMIF(S$3:$AF20,"ok",S32:AF32)</f>
        <v>0</v>
      </c>
      <c r="K32" s="693">
        <f t="shared" ca="1" si="4"/>
        <v>0</v>
      </c>
      <c r="L32" s="342">
        <v>0</v>
      </c>
      <c r="M32" s="997">
        <f t="shared" si="15"/>
        <v>0</v>
      </c>
      <c r="N32" s="343">
        <f t="shared" si="1"/>
        <v>0</v>
      </c>
      <c r="O32" s="997">
        <f t="shared" si="16"/>
        <v>0</v>
      </c>
      <c r="P32" s="348">
        <f>+'P02 2024'!Z12</f>
        <v>65557.430000000008</v>
      </c>
      <c r="Q32" s="348">
        <f>SUMIF($S$3:$AF$3,"SI",S32:AF32)</f>
        <v>1037.5912980000001</v>
      </c>
      <c r="R32" s="997">
        <f t="shared" si="19"/>
        <v>1.5827211316856073E-2</v>
      </c>
      <c r="S32" s="621">
        <v>0</v>
      </c>
      <c r="T32" s="621">
        <v>0</v>
      </c>
      <c r="U32" s="621">
        <v>0</v>
      </c>
      <c r="V32" s="1215">
        <f>+'P02 2024'!Q5</f>
        <v>1037.5912980000001</v>
      </c>
      <c r="W32" s="630">
        <f>+'P02 2024'!AI8</f>
        <v>232.05</v>
      </c>
      <c r="X32" s="630">
        <f>+'P02 2024'!BA8</f>
        <v>1079.1869999999999</v>
      </c>
      <c r="Y32" s="630">
        <f>+'P02 2024'!BS7</f>
        <v>3291.92</v>
      </c>
      <c r="Z32" s="632">
        <v>0</v>
      </c>
      <c r="AA32" s="630">
        <v>0</v>
      </c>
      <c r="AB32" s="630">
        <v>0</v>
      </c>
      <c r="AC32" s="630">
        <v>0</v>
      </c>
      <c r="AD32" s="630">
        <v>3846.6750000000002</v>
      </c>
      <c r="AE32" s="345">
        <f>+'P02 2024'!GA4</f>
        <v>738.72900000000004</v>
      </c>
      <c r="AF32" s="345">
        <f>+'P02 2024'!GS8</f>
        <v>2117.0100000000002</v>
      </c>
      <c r="AG32" s="485"/>
    </row>
    <row r="33" spans="1:41" s="339" customFormat="1" ht="15" hidden="1" customHeight="1" x14ac:dyDescent="0.25">
      <c r="B33" s="555"/>
      <c r="C33" s="603"/>
      <c r="D33" s="354">
        <v>34</v>
      </c>
      <c r="E33" s="354"/>
      <c r="F33" s="354" t="s">
        <v>500</v>
      </c>
      <c r="G33" s="588" t="s">
        <v>260</v>
      </c>
      <c r="H33" s="342">
        <f>+H34</f>
        <v>0</v>
      </c>
      <c r="I33" s="342">
        <f>+I34</f>
        <v>0</v>
      </c>
      <c r="J33" s="342">
        <f ca="1">SUMIF(S$3:$AF21,"ok",S33:AF33)</f>
        <v>0</v>
      </c>
      <c r="K33" s="693">
        <f t="shared" ca="1" si="4"/>
        <v>0</v>
      </c>
      <c r="L33" s="349">
        <f>+L34</f>
        <v>0</v>
      </c>
      <c r="M33" s="997">
        <f t="shared" si="15"/>
        <v>0</v>
      </c>
      <c r="N33" s="342">
        <f t="shared" ref="N33:N40" si="20">+I33-L33</f>
        <v>0</v>
      </c>
      <c r="O33" s="997">
        <f t="shared" si="16"/>
        <v>0</v>
      </c>
      <c r="P33" s="348">
        <f>+P34</f>
        <v>44217.270000000004</v>
      </c>
      <c r="Q33" s="348">
        <f>+Q34</f>
        <v>0</v>
      </c>
      <c r="R33" s="997">
        <f t="shared" si="19"/>
        <v>0</v>
      </c>
      <c r="S33" s="621">
        <f>+S34</f>
        <v>0</v>
      </c>
      <c r="T33" s="621">
        <f t="shared" ref="T33:W33" si="21">+T34</f>
        <v>0</v>
      </c>
      <c r="U33" s="384">
        <f t="shared" si="21"/>
        <v>0</v>
      </c>
      <c r="V33" s="384">
        <f t="shared" si="21"/>
        <v>0</v>
      </c>
      <c r="W33" s="384">
        <f t="shared" si="21"/>
        <v>0</v>
      </c>
      <c r="X33" s="630">
        <f t="shared" ref="X33:Z33" si="22">+X34</f>
        <v>0</v>
      </c>
      <c r="Y33" s="630">
        <f t="shared" si="22"/>
        <v>0</v>
      </c>
      <c r="Z33" s="630">
        <f t="shared" si="22"/>
        <v>0</v>
      </c>
      <c r="AA33" s="630">
        <v>0</v>
      </c>
      <c r="AB33" s="630">
        <f>+AB34</f>
        <v>0</v>
      </c>
      <c r="AC33" s="345">
        <v>0</v>
      </c>
      <c r="AD33" s="345">
        <f>AD34</f>
        <v>0</v>
      </c>
      <c r="AE33" s="630">
        <f>+AE34</f>
        <v>0</v>
      </c>
      <c r="AF33" s="352">
        <f>+AF34</f>
        <v>17434.689999999999</v>
      </c>
      <c r="AG33" s="485"/>
    </row>
    <row r="34" spans="1:41" s="339" customFormat="1" ht="15" hidden="1" customHeight="1" x14ac:dyDescent="0.25">
      <c r="B34" s="597"/>
      <c r="C34" s="489"/>
      <c r="D34" s="461"/>
      <c r="E34" s="461">
        <v>1</v>
      </c>
      <c r="F34" s="488"/>
      <c r="G34" s="588" t="s">
        <v>499</v>
      </c>
      <c r="H34" s="342">
        <v>0</v>
      </c>
      <c r="I34" s="342">
        <f>+'P02 2025'!GZ22</f>
        <v>0</v>
      </c>
      <c r="J34" s="342">
        <f ca="1">SUMIF(S$3:$AF22,"ok",S34:AF34)</f>
        <v>0</v>
      </c>
      <c r="K34" s="693">
        <f t="shared" ca="1" si="4"/>
        <v>0</v>
      </c>
      <c r="L34" s="349">
        <v>0</v>
      </c>
      <c r="M34" s="997">
        <f t="shared" si="15"/>
        <v>0</v>
      </c>
      <c r="N34" s="342">
        <f t="shared" si="20"/>
        <v>0</v>
      </c>
      <c r="O34" s="997">
        <f t="shared" si="16"/>
        <v>0</v>
      </c>
      <c r="P34" s="348">
        <f>+'P02 2024'!Z20</f>
        <v>44217.270000000004</v>
      </c>
      <c r="Q34" s="348">
        <f>SUMIF($S$3:$AF$3,"SI",S34:AF34)</f>
        <v>0</v>
      </c>
      <c r="R34" s="997">
        <f t="shared" si="19"/>
        <v>0</v>
      </c>
      <c r="S34" s="621">
        <v>0</v>
      </c>
      <c r="T34" s="621">
        <v>0</v>
      </c>
      <c r="U34" s="621">
        <v>0</v>
      </c>
      <c r="V34" s="1213">
        <v>0</v>
      </c>
      <c r="W34" s="630">
        <v>0</v>
      </c>
      <c r="X34" s="630">
        <v>0</v>
      </c>
      <c r="Y34" s="630">
        <v>0</v>
      </c>
      <c r="Z34" s="630">
        <v>0</v>
      </c>
      <c r="AA34" s="630">
        <v>0</v>
      </c>
      <c r="AB34" s="630">
        <v>0</v>
      </c>
      <c r="AC34" s="630">
        <v>0</v>
      </c>
      <c r="AD34" s="630">
        <v>0</v>
      </c>
      <c r="AE34" s="345">
        <v>0</v>
      </c>
      <c r="AF34" s="345">
        <f>+'P02 2024'!GS11</f>
        <v>17434.689999999999</v>
      </c>
      <c r="AG34" s="485"/>
      <c r="AM34" s="341"/>
      <c r="AN34" s="341"/>
      <c r="AO34" s="341"/>
    </row>
    <row r="35" spans="1:41" s="339" customFormat="1" ht="15" hidden="1" customHeight="1" x14ac:dyDescent="0.25">
      <c r="B35" s="555"/>
      <c r="C35" s="603"/>
      <c r="D35" s="354">
        <v>500</v>
      </c>
      <c r="E35" s="354"/>
      <c r="F35" s="404"/>
      <c r="G35" s="588" t="s">
        <v>314</v>
      </c>
      <c r="H35" s="342">
        <f>+H36</f>
        <v>0</v>
      </c>
      <c r="I35" s="342">
        <f>+I36</f>
        <v>0</v>
      </c>
      <c r="J35" s="342">
        <f ca="1">SUMIF(S$3:$AF23,"ok",S35:AF35)</f>
        <v>0</v>
      </c>
      <c r="K35" s="693">
        <f t="shared" ca="1" si="4"/>
        <v>0</v>
      </c>
      <c r="L35" s="349">
        <f>+L36</f>
        <v>0</v>
      </c>
      <c r="M35" s="997">
        <f t="shared" si="15"/>
        <v>0</v>
      </c>
      <c r="N35" s="342">
        <f t="shared" si="20"/>
        <v>0</v>
      </c>
      <c r="O35" s="997">
        <f t="shared" si="16"/>
        <v>0</v>
      </c>
      <c r="P35" s="348">
        <f>+P36</f>
        <v>0</v>
      </c>
      <c r="Q35" s="348">
        <f>+Q36</f>
        <v>0</v>
      </c>
      <c r="R35" s="997" t="str">
        <f t="shared" si="19"/>
        <v>0,00%</v>
      </c>
      <c r="S35" s="621">
        <f>+S36</f>
        <v>0</v>
      </c>
      <c r="T35" s="621">
        <f>+T36</f>
        <v>0</v>
      </c>
      <c r="U35" s="384">
        <f>+U36</f>
        <v>0</v>
      </c>
      <c r="V35" s="384">
        <v>0</v>
      </c>
      <c r="W35" s="384">
        <v>0</v>
      </c>
      <c r="X35" s="630">
        <f>+X36</f>
        <v>0</v>
      </c>
      <c r="Y35" s="384">
        <v>0</v>
      </c>
      <c r="Z35" s="630">
        <f>+Z36</f>
        <v>0</v>
      </c>
      <c r="AA35" s="630">
        <v>0</v>
      </c>
      <c r="AB35" s="630">
        <f>+AB36</f>
        <v>0</v>
      </c>
      <c r="AC35" s="630">
        <v>0</v>
      </c>
      <c r="AD35" s="241">
        <f>AD36</f>
        <v>0</v>
      </c>
      <c r="AE35" s="241">
        <f>+AE36</f>
        <v>0</v>
      </c>
      <c r="AF35" s="384">
        <f>+AF36</f>
        <v>0</v>
      </c>
      <c r="AG35" s="485"/>
      <c r="AM35" s="341"/>
      <c r="AN35" s="341"/>
      <c r="AO35" s="341"/>
    </row>
    <row r="36" spans="1:41" s="339" customFormat="1" ht="15" hidden="1" customHeight="1" x14ac:dyDescent="0.25">
      <c r="B36" s="597"/>
      <c r="C36" s="489"/>
      <c r="D36" s="461"/>
      <c r="E36" s="461">
        <v>1</v>
      </c>
      <c r="F36" s="488"/>
      <c r="G36" s="588" t="s">
        <v>314</v>
      </c>
      <c r="H36" s="344">
        <v>0</v>
      </c>
      <c r="I36" s="344">
        <v>0</v>
      </c>
      <c r="J36" s="342">
        <f ca="1">SUMIF(S$3:$AF24,"ok",S36:AF36)</f>
        <v>0</v>
      </c>
      <c r="K36" s="693">
        <f t="shared" ca="1" si="4"/>
        <v>0</v>
      </c>
      <c r="L36" s="352">
        <v>0</v>
      </c>
      <c r="M36" s="997">
        <f t="shared" si="15"/>
        <v>0</v>
      </c>
      <c r="N36" s="344">
        <f t="shared" si="20"/>
        <v>0</v>
      </c>
      <c r="O36" s="997">
        <f t="shared" si="16"/>
        <v>0</v>
      </c>
      <c r="P36" s="348">
        <v>0</v>
      </c>
      <c r="Q36" s="348">
        <f>SUMIF($S$3:$AF$3,"SI",S36:AF36)</f>
        <v>0</v>
      </c>
      <c r="R36" s="997" t="str">
        <f t="shared" si="19"/>
        <v>0,00%</v>
      </c>
      <c r="S36" s="621">
        <v>0</v>
      </c>
      <c r="T36" s="621">
        <v>0</v>
      </c>
      <c r="U36" s="621">
        <v>0</v>
      </c>
      <c r="V36" s="1213">
        <v>0</v>
      </c>
      <c r="W36" s="630">
        <v>0</v>
      </c>
      <c r="X36" s="630">
        <v>0</v>
      </c>
      <c r="Y36" s="630"/>
      <c r="Z36" s="630">
        <v>0</v>
      </c>
      <c r="AA36" s="630">
        <v>0</v>
      </c>
      <c r="AB36" s="630">
        <v>0</v>
      </c>
      <c r="AC36" s="630">
        <v>0</v>
      </c>
      <c r="AD36" s="630">
        <v>0</v>
      </c>
      <c r="AE36" s="345">
        <v>0</v>
      </c>
      <c r="AF36" s="345">
        <v>0</v>
      </c>
      <c r="AG36" s="485"/>
      <c r="AM36" s="341"/>
      <c r="AN36" s="341"/>
      <c r="AO36" s="341"/>
    </row>
    <row r="37" spans="1:41" s="339" customFormat="1" ht="15" customHeight="1" x14ac:dyDescent="0.25">
      <c r="B37" s="555"/>
      <c r="C37" s="603"/>
      <c r="D37" s="354">
        <v>602</v>
      </c>
      <c r="E37" s="354"/>
      <c r="F37" s="354" t="s">
        <v>925</v>
      </c>
      <c r="G37" s="588" t="s">
        <v>315</v>
      </c>
      <c r="H37" s="342">
        <f>SUM(H38:H43)</f>
        <v>740899</v>
      </c>
      <c r="I37" s="342">
        <f>SUM(I38:I43)</f>
        <v>740899</v>
      </c>
      <c r="J37" s="342">
        <f ca="1">SUMIF(S$3:$AF25,"ok",S37:AF37)</f>
        <v>89818.843999999997</v>
      </c>
      <c r="K37" s="693">
        <f t="shared" ca="1" si="4"/>
        <v>0.12122953870905481</v>
      </c>
      <c r="L37" s="343">
        <f>SUM(L38:L43)</f>
        <v>92158.843999999997</v>
      </c>
      <c r="M37" s="997">
        <f t="shared" si="15"/>
        <v>0.12438786393287074</v>
      </c>
      <c r="N37" s="343">
        <f t="shared" si="20"/>
        <v>648740.15599999996</v>
      </c>
      <c r="O37" s="997">
        <f t="shared" si="16"/>
        <v>0.87561213606712918</v>
      </c>
      <c r="P37" s="348">
        <f>SUM(P38:P43)</f>
        <v>1823319.7340000002</v>
      </c>
      <c r="Q37" s="348">
        <f>SUM(Q38:Q43)</f>
        <v>68542.759999999995</v>
      </c>
      <c r="R37" s="997">
        <f t="shared" si="19"/>
        <v>3.759228769472639E-2</v>
      </c>
      <c r="S37" s="621">
        <f>SUM(S38:S43)</f>
        <v>0</v>
      </c>
      <c r="T37" s="621">
        <f>SUM(T38:T43)</f>
        <v>0</v>
      </c>
      <c r="U37" s="384">
        <f>+SUM(U38:U43)</f>
        <v>89818.843999999997</v>
      </c>
      <c r="V37" s="384">
        <f>+SUM(V38:V43)</f>
        <v>68542.759999999995</v>
      </c>
      <c r="W37" s="384">
        <f t="shared" ref="W37:Y37" si="23">SUM(W38:W43)</f>
        <v>10000</v>
      </c>
      <c r="X37" s="384">
        <f t="shared" si="23"/>
        <v>340000</v>
      </c>
      <c r="Y37" s="384">
        <f t="shared" si="23"/>
        <v>116963.7</v>
      </c>
      <c r="Z37" s="630">
        <f>SUM(Z38:Z43)</f>
        <v>77760.486999999994</v>
      </c>
      <c r="AA37" s="630">
        <f>+SUM(AA38:AA43)</f>
        <v>51859.675999999999</v>
      </c>
      <c r="AB37" s="630">
        <f>+SUM(AB38:AB43)</f>
        <v>26308.594000000001</v>
      </c>
      <c r="AC37" s="630">
        <f>+SUM(AC38:AC42)</f>
        <v>61214</v>
      </c>
      <c r="AD37" s="630">
        <f>SUM(AD38:AD43)</f>
        <v>45330</v>
      </c>
      <c r="AE37" s="384">
        <f>SUM(AE38:AE42)</f>
        <v>165110</v>
      </c>
      <c r="AF37" s="349">
        <f>SUM(AF38:AF43)</f>
        <v>687363.14</v>
      </c>
      <c r="AG37" s="485"/>
      <c r="AM37" s="341"/>
      <c r="AN37" s="341"/>
      <c r="AO37" s="341"/>
    </row>
    <row r="38" spans="1:41" s="339" customFormat="1" ht="15" hidden="1" customHeight="1" x14ac:dyDescent="0.2">
      <c r="A38" s="617"/>
      <c r="B38" s="597"/>
      <c r="C38" s="489"/>
      <c r="D38" s="461"/>
      <c r="E38" s="461">
        <v>1</v>
      </c>
      <c r="F38" s="488"/>
      <c r="G38" s="588" t="s">
        <v>590</v>
      </c>
      <c r="H38" s="347">
        <f>+'P02 2025'!H22</f>
        <v>14400.662</v>
      </c>
      <c r="I38" s="346">
        <f>+'P02 2025'!AA24</f>
        <v>14400.662</v>
      </c>
      <c r="J38" s="342">
        <f ca="1">SUMIF(S$3:$AF26,"ok",S38:AF38)</f>
        <v>0</v>
      </c>
      <c r="K38" s="693">
        <f t="shared" ca="1" si="4"/>
        <v>0</v>
      </c>
      <c r="L38" s="347">
        <f>+'P02 2025'!AC26</f>
        <v>2340</v>
      </c>
      <c r="M38" s="997">
        <f t="shared" si="15"/>
        <v>0.16249252985730794</v>
      </c>
      <c r="N38" s="343">
        <f>+I38-L38</f>
        <v>12060.662</v>
      </c>
      <c r="O38" s="997">
        <f t="shared" si="16"/>
        <v>0.837507470142692</v>
      </c>
      <c r="P38" s="348">
        <f>+'P02 2024'!Z25</f>
        <v>213610</v>
      </c>
      <c r="Q38" s="348">
        <f>SUMIF($S$3:$AF$3,"SI",S38:AF38)</f>
        <v>812.76</v>
      </c>
      <c r="R38" s="997">
        <f t="shared" si="19"/>
        <v>3.8048780487804877E-3</v>
      </c>
      <c r="S38" s="621">
        <v>0</v>
      </c>
      <c r="T38" s="621">
        <v>0</v>
      </c>
      <c r="U38" s="621">
        <v>0</v>
      </c>
      <c r="V38" s="1213">
        <f>+'P02 2024'!Q7</f>
        <v>812.76</v>
      </c>
      <c r="W38" s="630">
        <v>0</v>
      </c>
      <c r="X38" s="630">
        <v>0</v>
      </c>
      <c r="Y38" s="630">
        <v>0</v>
      </c>
      <c r="Z38" s="632">
        <f>+'P02 2024'!CL8</f>
        <v>780</v>
      </c>
      <c r="AA38" s="630">
        <f>+'P02 2024'!DD7</f>
        <v>24989</v>
      </c>
      <c r="AB38" s="630">
        <f>+'P02 2024'!DV7</f>
        <v>780</v>
      </c>
      <c r="AC38" s="630">
        <v>0</v>
      </c>
      <c r="AD38" s="630">
        <v>0</v>
      </c>
      <c r="AE38" s="345">
        <v>0</v>
      </c>
      <c r="AF38" s="345">
        <f>+'P02 2024'!GS14</f>
        <v>780</v>
      </c>
      <c r="AG38" s="485"/>
      <c r="AM38" s="341"/>
      <c r="AN38" s="341"/>
      <c r="AO38" s="341"/>
    </row>
    <row r="39" spans="1:41" s="339" customFormat="1" ht="15" hidden="1" customHeight="1" x14ac:dyDescent="0.2">
      <c r="A39" s="617"/>
      <c r="B39" s="597"/>
      <c r="C39" s="489"/>
      <c r="D39" s="461"/>
      <c r="E39" s="461">
        <v>2</v>
      </c>
      <c r="F39" s="488"/>
      <c r="G39" s="588" t="s">
        <v>591</v>
      </c>
      <c r="H39" s="347">
        <f>+'P02 2025'!H18</f>
        <v>305741.51400000002</v>
      </c>
      <c r="I39" s="343">
        <f>+'P02 2025'!AA20</f>
        <v>355520</v>
      </c>
      <c r="J39" s="342">
        <f ca="1">SUMIF(S$3:$AF27,"ok",S39:AF39)</f>
        <v>0</v>
      </c>
      <c r="K39" s="693">
        <f t="shared" ca="1" si="4"/>
        <v>0</v>
      </c>
      <c r="L39" s="349">
        <f>'P02 2025'!AC33</f>
        <v>0</v>
      </c>
      <c r="M39" s="997">
        <f t="shared" si="15"/>
        <v>0</v>
      </c>
      <c r="N39" s="343">
        <f>+I39-L39</f>
        <v>355520</v>
      </c>
      <c r="O39" s="997">
        <f t="shared" si="16"/>
        <v>1</v>
      </c>
      <c r="P39" s="348">
        <f>+'P02 2024'!Z22</f>
        <v>354280</v>
      </c>
      <c r="Q39" s="348">
        <f>SUMIF($S$3:$AF$3,"SI",S39:AF39)</f>
        <v>0</v>
      </c>
      <c r="R39" s="997">
        <f t="shared" si="19"/>
        <v>0</v>
      </c>
      <c r="S39" s="621">
        <v>0</v>
      </c>
      <c r="T39" s="621">
        <v>0</v>
      </c>
      <c r="U39" s="621">
        <v>0</v>
      </c>
      <c r="V39" s="1213">
        <v>0</v>
      </c>
      <c r="W39" s="630">
        <v>0</v>
      </c>
      <c r="X39" s="630">
        <f>+'P02 2024'!BA9</f>
        <v>340000</v>
      </c>
      <c r="Y39" s="630">
        <v>0</v>
      </c>
      <c r="Z39" s="630">
        <v>0</v>
      </c>
      <c r="AA39" s="630">
        <v>0</v>
      </c>
      <c r="AB39" s="630">
        <v>0</v>
      </c>
      <c r="AC39" s="630">
        <f>+'P02 2024'!EN8</f>
        <v>50000</v>
      </c>
      <c r="AD39" s="630">
        <v>0</v>
      </c>
      <c r="AE39" s="345">
        <f>+'P02 2024'!GA9</f>
        <v>140000</v>
      </c>
      <c r="AF39" s="345">
        <f>+'P02 2024'!GS13</f>
        <v>264217.14</v>
      </c>
      <c r="AG39" s="485"/>
      <c r="AM39" s="341"/>
      <c r="AN39" s="341"/>
      <c r="AO39" s="341"/>
    </row>
    <row r="40" spans="1:41" s="339" customFormat="1" ht="15" hidden="1" customHeight="1" x14ac:dyDescent="0.2">
      <c r="A40" s="617"/>
      <c r="B40" s="597"/>
      <c r="C40" s="489"/>
      <c r="D40" s="461"/>
      <c r="E40" s="461">
        <v>3</v>
      </c>
      <c r="F40" s="488"/>
      <c r="G40" s="588" t="s">
        <v>592</v>
      </c>
      <c r="H40" s="347">
        <f>+'P02 2025'!H19</f>
        <v>221922.56200000001</v>
      </c>
      <c r="I40" s="343">
        <f>+'P02 2025'!AA21</f>
        <v>172144.076</v>
      </c>
      <c r="J40" s="342">
        <f ca="1">SUMIF(S$3:$AF28,"ok",S40:AF40)</f>
        <v>89818.843999999997</v>
      </c>
      <c r="K40" s="693">
        <f t="shared" ca="1" si="4"/>
        <v>0.52176552389755193</v>
      </c>
      <c r="L40" s="349">
        <f>+'P02 2025'!AC28</f>
        <v>89818.843999999997</v>
      </c>
      <c r="M40" s="997">
        <f t="shared" si="15"/>
        <v>0.52176552389755193</v>
      </c>
      <c r="N40" s="343">
        <f t="shared" si="20"/>
        <v>82325.232000000004</v>
      </c>
      <c r="O40" s="997">
        <f t="shared" si="16"/>
        <v>0.47823447610244807</v>
      </c>
      <c r="P40" s="348">
        <f>+'P02 2024'!Z21</f>
        <v>546869.73400000005</v>
      </c>
      <c r="Q40" s="348">
        <f>SUMIF($S$3:$AF$3,"SI",S40:AF40)</f>
        <v>0</v>
      </c>
      <c r="R40" s="997">
        <f t="shared" si="19"/>
        <v>0</v>
      </c>
      <c r="S40" s="621">
        <v>0</v>
      </c>
      <c r="T40" s="621">
        <v>0</v>
      </c>
      <c r="U40" s="621">
        <f>+'P02 2025'!R7</f>
        <v>89818.843999999997</v>
      </c>
      <c r="V40" s="1213">
        <v>0</v>
      </c>
      <c r="W40" s="630">
        <v>0</v>
      </c>
      <c r="X40" s="630">
        <v>0</v>
      </c>
      <c r="Y40" s="630">
        <v>0</v>
      </c>
      <c r="Z40" s="630">
        <f>+'P02 2024'!CL9</f>
        <v>28980.487000000001</v>
      </c>
      <c r="AA40" s="630">
        <f>+'P02 2024'!DD8</f>
        <v>26870.675999999999</v>
      </c>
      <c r="AB40" s="630">
        <f>+'P02 2024'!DV8</f>
        <v>25528.594000000001</v>
      </c>
      <c r="AC40" s="630">
        <v>0</v>
      </c>
      <c r="AD40" s="630">
        <v>0</v>
      </c>
      <c r="AE40" s="345">
        <v>0</v>
      </c>
      <c r="AF40" s="345">
        <f>+'P02 2024'!GS12</f>
        <v>314520</v>
      </c>
      <c r="AG40" s="485"/>
      <c r="AM40" s="341"/>
      <c r="AN40" s="341"/>
      <c r="AO40" s="341"/>
    </row>
    <row r="41" spans="1:41" s="339" customFormat="1" ht="15" hidden="1" customHeight="1" x14ac:dyDescent="0.25">
      <c r="A41" s="617"/>
      <c r="B41" s="597"/>
      <c r="C41" s="489"/>
      <c r="D41" s="461"/>
      <c r="E41" s="461">
        <v>4</v>
      </c>
      <c r="F41" s="488"/>
      <c r="G41" s="588" t="s">
        <v>469</v>
      </c>
      <c r="H41" s="343">
        <v>0</v>
      </c>
      <c r="I41" s="343">
        <f>+'P02 2025'!GZ32</f>
        <v>0</v>
      </c>
      <c r="J41" s="342">
        <f ca="1">SUMIF(S$3:$AF29,"ok",S41:AF41)</f>
        <v>0</v>
      </c>
      <c r="K41" s="693">
        <f t="shared" ca="1" si="4"/>
        <v>0</v>
      </c>
      <c r="L41" s="349">
        <v>0</v>
      </c>
      <c r="M41" s="997">
        <f t="shared" si="15"/>
        <v>0</v>
      </c>
      <c r="N41" s="343">
        <f t="shared" ref="N41:N46" si="24">+I41-L41</f>
        <v>0</v>
      </c>
      <c r="O41" s="997">
        <f t="shared" si="16"/>
        <v>0</v>
      </c>
      <c r="P41" s="348">
        <f>+'P02 2024'!Z24</f>
        <v>244870</v>
      </c>
      <c r="Q41" s="348">
        <f>SUMIF($S$3:$AF$3,"SI",S41:AF41)</f>
        <v>0</v>
      </c>
      <c r="R41" s="997">
        <f t="shared" si="19"/>
        <v>0</v>
      </c>
      <c r="S41" s="621">
        <v>0</v>
      </c>
      <c r="T41" s="621">
        <v>0</v>
      </c>
      <c r="U41" s="621">
        <v>0</v>
      </c>
      <c r="V41" s="1213">
        <v>0</v>
      </c>
      <c r="W41" s="630">
        <v>0</v>
      </c>
      <c r="X41" s="630">
        <v>0</v>
      </c>
      <c r="Y41" s="634">
        <v>0</v>
      </c>
      <c r="Z41" s="630">
        <v>0</v>
      </c>
      <c r="AA41" s="630">
        <v>0</v>
      </c>
      <c r="AB41" s="630">
        <v>0</v>
      </c>
      <c r="AC41" s="630">
        <v>0</v>
      </c>
      <c r="AD41" s="630">
        <v>0</v>
      </c>
      <c r="AE41" s="345">
        <v>0</v>
      </c>
      <c r="AF41" s="345">
        <v>0</v>
      </c>
      <c r="AG41" s="485"/>
      <c r="AM41" s="341"/>
      <c r="AN41" s="341"/>
      <c r="AO41" s="341"/>
    </row>
    <row r="42" spans="1:41" s="339" customFormat="1" ht="15" hidden="1" customHeight="1" x14ac:dyDescent="0.2">
      <c r="B42" s="597"/>
      <c r="C42" s="489"/>
      <c r="D42" s="461"/>
      <c r="E42" s="461">
        <v>5</v>
      </c>
      <c r="F42" s="488"/>
      <c r="G42" s="588" t="s">
        <v>593</v>
      </c>
      <c r="H42" s="343">
        <f>+'P02 2025'!H20</f>
        <v>114543.46400000001</v>
      </c>
      <c r="I42" s="343">
        <f>+'P02 2025'!AA22</f>
        <v>114543.46400000001</v>
      </c>
      <c r="J42" s="342">
        <f ca="1">SUMIF(S$3:$AF30,"ok",S42:AF42)</f>
        <v>0</v>
      </c>
      <c r="K42" s="693">
        <f t="shared" ca="1" si="4"/>
        <v>0</v>
      </c>
      <c r="L42" s="349">
        <f>'P02 2025'!AC34</f>
        <v>0</v>
      </c>
      <c r="M42" s="997">
        <f t="shared" si="15"/>
        <v>0</v>
      </c>
      <c r="N42" s="343">
        <f t="shared" si="24"/>
        <v>114543.46400000001</v>
      </c>
      <c r="O42" s="997">
        <f t="shared" si="16"/>
        <v>1</v>
      </c>
      <c r="P42" s="348">
        <f>+'P02 2024'!Z23</f>
        <v>296970</v>
      </c>
      <c r="Q42" s="348">
        <f>SUMIF($S$3:$AF$3,"SI",S42:AF42)</f>
        <v>67730</v>
      </c>
      <c r="R42" s="997">
        <f t="shared" si="19"/>
        <v>0.22807017543859648</v>
      </c>
      <c r="S42" s="621">
        <v>0</v>
      </c>
      <c r="T42" s="621">
        <v>0</v>
      </c>
      <c r="U42" s="621">
        <v>0</v>
      </c>
      <c r="V42" s="1215">
        <f>+'P02 2024'!Q8</f>
        <v>67730</v>
      </c>
      <c r="W42" s="630">
        <f>+'P02 2024'!AI9</f>
        <v>10000</v>
      </c>
      <c r="X42" s="630">
        <v>0</v>
      </c>
      <c r="Y42" s="630">
        <f>+'P02 2024'!BS10</f>
        <v>5000</v>
      </c>
      <c r="Z42" s="630">
        <v>0</v>
      </c>
      <c r="AA42" s="630">
        <v>0</v>
      </c>
      <c r="AB42" s="630">
        <v>0</v>
      </c>
      <c r="AC42" s="630">
        <f>+'P02 2024'!EN9</f>
        <v>11214</v>
      </c>
      <c r="AD42" s="633">
        <v>45330</v>
      </c>
      <c r="AE42" s="345">
        <f>+'P02 2024'!GA8</f>
        <v>25110</v>
      </c>
      <c r="AF42" s="345">
        <f>+'P02 2024'!GS15</f>
        <v>107846</v>
      </c>
      <c r="AG42" s="485"/>
      <c r="AM42" s="341"/>
      <c r="AN42" s="341"/>
      <c r="AO42" s="341"/>
    </row>
    <row r="43" spans="1:41" s="339" customFormat="1" ht="15" hidden="1" customHeight="1" x14ac:dyDescent="0.25">
      <c r="B43" s="597"/>
      <c r="C43" s="489"/>
      <c r="D43" s="461"/>
      <c r="E43" s="461">
        <v>6</v>
      </c>
      <c r="F43" s="488"/>
      <c r="G43" s="588" t="s">
        <v>470</v>
      </c>
      <c r="H43" s="343">
        <f>+'P02 2025'!H21</f>
        <v>84290.797999999995</v>
      </c>
      <c r="I43" s="343">
        <f>+'P02 2025'!AA23</f>
        <v>84290.797999999995</v>
      </c>
      <c r="J43" s="342">
        <f ca="1">SUMIF(S$3:$AF31,"ok",S43:AF43)</f>
        <v>0</v>
      </c>
      <c r="K43" s="693">
        <f t="shared" ca="1" si="4"/>
        <v>0</v>
      </c>
      <c r="L43" s="349">
        <f>'P02 2025'!AC36</f>
        <v>0</v>
      </c>
      <c r="M43" s="997">
        <f t="shared" si="15"/>
        <v>0</v>
      </c>
      <c r="N43" s="343">
        <f t="shared" si="24"/>
        <v>84290.797999999995</v>
      </c>
      <c r="O43" s="997">
        <f t="shared" si="16"/>
        <v>1</v>
      </c>
      <c r="P43" s="348">
        <f>+'P02 2024'!Z26</f>
        <v>166720</v>
      </c>
      <c r="Q43" s="348">
        <f t="shared" ref="Q43:Q47" si="25">SUMIF($S$3:$AF$3,"SI",S43:AF43)</f>
        <v>0</v>
      </c>
      <c r="R43" s="997">
        <f t="shared" si="19"/>
        <v>0</v>
      </c>
      <c r="S43" s="621">
        <v>0</v>
      </c>
      <c r="T43" s="621">
        <v>0</v>
      </c>
      <c r="U43" s="621">
        <v>0</v>
      </c>
      <c r="V43" s="1213">
        <v>0</v>
      </c>
      <c r="W43" s="630">
        <v>0</v>
      </c>
      <c r="X43" s="630">
        <v>0</v>
      </c>
      <c r="Y43" s="630">
        <f>+'P02 2024'!BS9</f>
        <v>111963.7</v>
      </c>
      <c r="Z43" s="630">
        <f>+'P02 2024'!CL7</f>
        <v>48000</v>
      </c>
      <c r="AA43" s="630">
        <v>0</v>
      </c>
      <c r="AB43" s="630">
        <v>0</v>
      </c>
      <c r="AC43" s="630">
        <v>0</v>
      </c>
      <c r="AD43" s="630">
        <v>0</v>
      </c>
      <c r="AE43" s="345">
        <v>0</v>
      </c>
      <c r="AF43" s="345">
        <v>0</v>
      </c>
      <c r="AG43" s="485"/>
      <c r="AM43" s="341"/>
      <c r="AN43" s="341"/>
      <c r="AO43" s="341"/>
    </row>
    <row r="44" spans="1:41" s="339" customFormat="1" ht="15" customHeight="1" x14ac:dyDescent="0.2">
      <c r="A44" s="16"/>
      <c r="B44" s="1216"/>
      <c r="C44" s="329">
        <v>9</v>
      </c>
      <c r="D44" s="326"/>
      <c r="E44" s="326"/>
      <c r="F44" s="662"/>
      <c r="G44" s="663" t="s">
        <v>1018</v>
      </c>
      <c r="H44" s="664">
        <f>+H45</f>
        <v>31260</v>
      </c>
      <c r="I44" s="196">
        <f>+I45</f>
        <v>31260</v>
      </c>
      <c r="J44" s="195">
        <f ca="1">SUMIF(S$3:$AF32,"ok",S44:AF44)</f>
        <v>2700</v>
      </c>
      <c r="K44" s="993">
        <f t="shared" ca="1" si="4"/>
        <v>8.6372360844529747E-2</v>
      </c>
      <c r="L44" s="111">
        <f>+L45</f>
        <v>22571.206999999999</v>
      </c>
      <c r="M44" s="993">
        <f t="shared" si="15"/>
        <v>0.72204756877799103</v>
      </c>
      <c r="N44" s="196">
        <f t="shared" si="24"/>
        <v>8688.7930000000015</v>
      </c>
      <c r="O44" s="993">
        <f t="shared" si="16"/>
        <v>0.27795243122200902</v>
      </c>
      <c r="P44" s="110">
        <v>0</v>
      </c>
      <c r="Q44" s="109">
        <f t="shared" si="25"/>
        <v>0</v>
      </c>
      <c r="R44" s="993" t="str">
        <f t="shared" ref="R44:R54" si="26">IFERROR(Q44/P44,"0,00%")</f>
        <v>0,00%</v>
      </c>
      <c r="S44" s="1217">
        <v>0</v>
      </c>
      <c r="T44" s="1217">
        <v>0</v>
      </c>
      <c r="U44" s="1218">
        <f>+U45</f>
        <v>2700</v>
      </c>
      <c r="V44" s="1218">
        <v>0</v>
      </c>
      <c r="W44" s="665"/>
      <c r="X44" s="665"/>
      <c r="Y44" s="665"/>
      <c r="Z44" s="665"/>
      <c r="AA44" s="665"/>
      <c r="AB44" s="665"/>
      <c r="AC44" s="665"/>
      <c r="AD44" s="665"/>
      <c r="AE44" s="208"/>
      <c r="AF44" s="208"/>
      <c r="AG44" s="485"/>
      <c r="AM44" s="341"/>
      <c r="AN44" s="341"/>
      <c r="AO44" s="341"/>
    </row>
    <row r="45" spans="1:41" s="339" customFormat="1" ht="15" customHeight="1" x14ac:dyDescent="0.2">
      <c r="B45" s="597"/>
      <c r="C45" s="489"/>
      <c r="D45" s="461">
        <v>34</v>
      </c>
      <c r="E45" s="461"/>
      <c r="F45" s="488"/>
      <c r="G45" s="588" t="s">
        <v>1034</v>
      </c>
      <c r="H45" s="347">
        <f>+'P02 2025'!H26</f>
        <v>31260</v>
      </c>
      <c r="I45" s="343">
        <f>+'P02 2025'!AA29</f>
        <v>31260</v>
      </c>
      <c r="J45" s="342">
        <f ca="1">SUMIF(S$3:$AF33,"ok",S45:AF45)</f>
        <v>2700</v>
      </c>
      <c r="K45" s="693">
        <f t="shared" ca="1" si="4"/>
        <v>8.6372360844529747E-2</v>
      </c>
      <c r="L45" s="349">
        <f>+'P02 2025'!AC30</f>
        <v>22571.206999999999</v>
      </c>
      <c r="M45" s="997">
        <f t="shared" si="15"/>
        <v>0.72204756877799103</v>
      </c>
      <c r="N45" s="343">
        <f t="shared" si="24"/>
        <v>8688.7930000000015</v>
      </c>
      <c r="O45" s="997">
        <f t="shared" si="16"/>
        <v>0.27795243122200902</v>
      </c>
      <c r="P45" s="348">
        <v>0</v>
      </c>
      <c r="Q45" s="348">
        <f t="shared" si="25"/>
        <v>0</v>
      </c>
      <c r="R45" s="997" t="str">
        <f t="shared" si="26"/>
        <v>0,00%</v>
      </c>
      <c r="S45" s="621">
        <v>0</v>
      </c>
      <c r="T45" s="621">
        <v>0</v>
      </c>
      <c r="U45" s="621">
        <f>+'P02 2025'!R8</f>
        <v>2700</v>
      </c>
      <c r="V45" s="1213">
        <v>0</v>
      </c>
      <c r="W45" s="630"/>
      <c r="X45" s="630"/>
      <c r="Y45" s="630"/>
      <c r="Z45" s="630"/>
      <c r="AA45" s="630"/>
      <c r="AB45" s="630"/>
      <c r="AC45" s="630"/>
      <c r="AD45" s="630"/>
      <c r="AE45" s="345"/>
      <c r="AF45" s="345"/>
      <c r="AG45" s="485"/>
      <c r="AM45" s="341"/>
      <c r="AN45" s="341"/>
      <c r="AO45" s="341"/>
    </row>
    <row r="46" spans="1:41" s="97" customFormat="1" ht="15" customHeight="1" x14ac:dyDescent="0.25">
      <c r="B46" s="961">
        <v>25</v>
      </c>
      <c r="C46" s="238"/>
      <c r="D46" s="238"/>
      <c r="E46" s="47"/>
      <c r="F46" s="50"/>
      <c r="G46" s="618" t="s">
        <v>515</v>
      </c>
      <c r="H46" s="195">
        <f>+H47</f>
        <v>20</v>
      </c>
      <c r="I46" s="195">
        <f t="shared" ref="I46:J46" si="27">+I47</f>
        <v>20</v>
      </c>
      <c r="J46" s="195">
        <f t="shared" ca="1" si="27"/>
        <v>0</v>
      </c>
      <c r="K46" s="993">
        <f t="shared" ca="1" si="4"/>
        <v>0</v>
      </c>
      <c r="L46" s="111">
        <f>+L47</f>
        <v>0</v>
      </c>
      <c r="M46" s="993">
        <f t="shared" si="15"/>
        <v>0</v>
      </c>
      <c r="N46" s="195">
        <f t="shared" si="24"/>
        <v>20</v>
      </c>
      <c r="O46" s="993">
        <f t="shared" si="16"/>
        <v>1</v>
      </c>
      <c r="P46" s="109">
        <f>+P47</f>
        <v>10.42</v>
      </c>
      <c r="Q46" s="109">
        <f t="shared" si="25"/>
        <v>381817.343506</v>
      </c>
      <c r="R46" s="993">
        <v>1</v>
      </c>
      <c r="S46" s="426">
        <f>+S47</f>
        <v>0</v>
      </c>
      <c r="T46" s="426">
        <f>+T47</f>
        <v>381817.343506</v>
      </c>
      <c r="U46" s="1217">
        <f>+U47</f>
        <v>0</v>
      </c>
      <c r="V46" s="1217">
        <f>+V47</f>
        <v>0</v>
      </c>
      <c r="W46" s="1217">
        <v>0</v>
      </c>
      <c r="X46" s="627">
        <f>+X47+X49+X52</f>
        <v>0</v>
      </c>
      <c r="Y46" s="627">
        <f>+Y47</f>
        <v>0</v>
      </c>
      <c r="Z46" s="627">
        <v>0</v>
      </c>
      <c r="AA46" s="627">
        <f>+AA47</f>
        <v>0</v>
      </c>
      <c r="AB46" s="627">
        <v>0</v>
      </c>
      <c r="AC46" s="627">
        <v>0</v>
      </c>
      <c r="AD46" s="627">
        <f>AD47</f>
        <v>0</v>
      </c>
      <c r="AE46" s="627">
        <f>+AE47</f>
        <v>0</v>
      </c>
      <c r="AF46" s="627">
        <f>+AF47+AF49</f>
        <v>2598.75</v>
      </c>
      <c r="AG46" s="485"/>
      <c r="AH46" s="339"/>
      <c r="AI46" s="339"/>
      <c r="AJ46" s="339"/>
      <c r="AK46" s="339"/>
      <c r="AL46" s="339"/>
      <c r="AM46" s="341"/>
      <c r="AN46" s="341"/>
      <c r="AO46" s="341"/>
    </row>
    <row r="47" spans="1:41" s="339" customFormat="1" ht="15" customHeight="1" x14ac:dyDescent="0.25">
      <c r="B47" s="597"/>
      <c r="C47" s="489">
        <v>99</v>
      </c>
      <c r="D47" s="489"/>
      <c r="E47" s="461"/>
      <c r="F47" s="488"/>
      <c r="G47" s="456" t="s">
        <v>514</v>
      </c>
      <c r="H47" s="344">
        <f>+H48+H49+H50+H51+H52</f>
        <v>20</v>
      </c>
      <c r="I47" s="344">
        <f t="shared" ref="I47:AF47" si="28">+I48+I49+I50+I51+I52</f>
        <v>20</v>
      </c>
      <c r="J47" s="344">
        <f t="shared" ca="1" si="28"/>
        <v>0</v>
      </c>
      <c r="K47" s="693">
        <f t="shared" ca="1" si="4"/>
        <v>0</v>
      </c>
      <c r="L47" s="344">
        <f t="shared" si="28"/>
        <v>0</v>
      </c>
      <c r="M47" s="997">
        <f t="shared" si="15"/>
        <v>0</v>
      </c>
      <c r="N47" s="344">
        <f>+N48+N49+N50+N51+N52</f>
        <v>20</v>
      </c>
      <c r="O47" s="997">
        <f t="shared" si="16"/>
        <v>1</v>
      </c>
      <c r="P47" s="344">
        <f t="shared" si="28"/>
        <v>10.42</v>
      </c>
      <c r="Q47" s="348">
        <f t="shared" si="25"/>
        <v>381817.343506</v>
      </c>
      <c r="R47" s="1219">
        <v>1</v>
      </c>
      <c r="S47" s="344">
        <f>+S48+S49+S50+S51+S52</f>
        <v>0</v>
      </c>
      <c r="T47" s="344">
        <f t="shared" si="28"/>
        <v>381817.343506</v>
      </c>
      <c r="U47" s="344">
        <f t="shared" si="28"/>
        <v>0</v>
      </c>
      <c r="V47" s="344">
        <f t="shared" si="28"/>
        <v>0</v>
      </c>
      <c r="W47" s="344">
        <f t="shared" si="28"/>
        <v>0</v>
      </c>
      <c r="X47" s="344">
        <f t="shared" si="28"/>
        <v>0</v>
      </c>
      <c r="Y47" s="344">
        <f t="shared" si="28"/>
        <v>0</v>
      </c>
      <c r="Z47" s="344">
        <f t="shared" si="28"/>
        <v>0</v>
      </c>
      <c r="AA47" s="344">
        <f t="shared" si="28"/>
        <v>0</v>
      </c>
      <c r="AB47" s="344">
        <f t="shared" si="28"/>
        <v>0</v>
      </c>
      <c r="AC47" s="344">
        <f t="shared" si="28"/>
        <v>0</v>
      </c>
      <c r="AD47" s="344">
        <f t="shared" si="28"/>
        <v>0</v>
      </c>
      <c r="AE47" s="344">
        <f t="shared" si="28"/>
        <v>0</v>
      </c>
      <c r="AF47" s="344">
        <f t="shared" si="28"/>
        <v>2598.75</v>
      </c>
      <c r="AM47" s="341"/>
      <c r="AN47" s="341"/>
      <c r="AO47" s="341"/>
    </row>
    <row r="48" spans="1:41" s="339" customFormat="1" ht="15" hidden="1" customHeight="1" x14ac:dyDescent="0.25">
      <c r="B48" s="597"/>
      <c r="C48" s="489"/>
      <c r="D48" s="461">
        <v>1</v>
      </c>
      <c r="E48" s="461"/>
      <c r="F48" s="488"/>
      <c r="G48" s="456" t="s">
        <v>854</v>
      </c>
      <c r="H48" s="344">
        <f>+'P02 2025'!H28</f>
        <v>1</v>
      </c>
      <c r="I48" s="344">
        <f>+'P02 2025'!AA31</f>
        <v>1</v>
      </c>
      <c r="J48" s="342">
        <f ca="1">SUMIF(S$3:$AF33,"ok",S48:AF48)</f>
        <v>0</v>
      </c>
      <c r="K48" s="693">
        <f t="shared" ca="1" si="4"/>
        <v>0</v>
      </c>
      <c r="L48" s="344">
        <v>0</v>
      </c>
      <c r="M48" s="997">
        <f t="shared" si="15"/>
        <v>0</v>
      </c>
      <c r="N48" s="344">
        <f>+I48-L48</f>
        <v>1</v>
      </c>
      <c r="O48" s="997">
        <f>+IFERROR(N48/I48,0)</f>
        <v>1</v>
      </c>
      <c r="P48" s="345">
        <v>0</v>
      </c>
      <c r="Q48" s="345">
        <v>0</v>
      </c>
      <c r="R48" s="1219" t="str">
        <f t="shared" si="26"/>
        <v>0,00%</v>
      </c>
      <c r="S48" s="621">
        <v>0</v>
      </c>
      <c r="T48" s="621"/>
      <c r="U48" s="621">
        <v>0</v>
      </c>
      <c r="V48" s="1213">
        <v>0</v>
      </c>
      <c r="W48" s="630"/>
      <c r="X48" s="630"/>
      <c r="Y48" s="630"/>
      <c r="Z48" s="630"/>
      <c r="AA48" s="630"/>
      <c r="AB48" s="630"/>
      <c r="AC48" s="630"/>
      <c r="AD48" s="630"/>
      <c r="AE48" s="630"/>
      <c r="AF48" s="630"/>
      <c r="AG48" s="485"/>
      <c r="AM48" s="341"/>
      <c r="AN48" s="341"/>
      <c r="AO48" s="341"/>
    </row>
    <row r="49" spans="1:41" s="339" customFormat="1" ht="15" hidden="1" customHeight="1" x14ac:dyDescent="0.25">
      <c r="B49" s="597"/>
      <c r="C49" s="489"/>
      <c r="D49" s="461">
        <v>2</v>
      </c>
      <c r="E49" s="461"/>
      <c r="F49" s="488"/>
      <c r="G49" s="456" t="s">
        <v>894</v>
      </c>
      <c r="H49" s="344">
        <f>+'P02 2025'!H29</f>
        <v>1</v>
      </c>
      <c r="I49" s="344">
        <f>+'P02 2025'!AA32</f>
        <v>1</v>
      </c>
      <c r="J49" s="342">
        <f ca="1">SUMIF(S$3:$AF34,"ok",S49:AF49)</f>
        <v>0</v>
      </c>
      <c r="K49" s="693">
        <f t="shared" ca="1" si="4"/>
        <v>0</v>
      </c>
      <c r="L49" s="344">
        <v>0</v>
      </c>
      <c r="M49" s="997">
        <f t="shared" si="15"/>
        <v>0</v>
      </c>
      <c r="N49" s="344">
        <f t="shared" ref="N49:N52" si="29">+I49-L49</f>
        <v>1</v>
      </c>
      <c r="O49" s="997">
        <f t="shared" ref="O49:O63" si="30">+IFERROR(N49/I49,0)</f>
        <v>1</v>
      </c>
      <c r="P49" s="345">
        <f>+'P02 2024'!Z31</f>
        <v>1.042</v>
      </c>
      <c r="Q49" s="345">
        <f t="shared" ref="Q49:Q52" si="31">SUMIF($S$3:$AF$3,"SI",S49:AF49)</f>
        <v>381817.343506</v>
      </c>
      <c r="R49" s="1219">
        <v>1</v>
      </c>
      <c r="S49" s="621">
        <v>0</v>
      </c>
      <c r="T49" s="621">
        <f>+'P02 2024'!J28</f>
        <v>381817.343506</v>
      </c>
      <c r="U49" s="621">
        <v>0</v>
      </c>
      <c r="V49" s="1213">
        <v>0</v>
      </c>
      <c r="W49" s="630">
        <v>0</v>
      </c>
      <c r="X49" s="630"/>
      <c r="Y49" s="630">
        <v>0</v>
      </c>
      <c r="Z49" s="634">
        <v>0</v>
      </c>
      <c r="AA49" s="630">
        <v>0</v>
      </c>
      <c r="AB49" s="630">
        <v>0</v>
      </c>
      <c r="AC49" s="630">
        <v>0</v>
      </c>
      <c r="AD49" s="630">
        <v>0</v>
      </c>
      <c r="AE49" s="630">
        <v>0</v>
      </c>
      <c r="AF49" s="630">
        <v>0</v>
      </c>
      <c r="AG49" s="485"/>
      <c r="AM49" s="341"/>
      <c r="AN49" s="341"/>
      <c r="AO49" s="341"/>
    </row>
    <row r="50" spans="1:41" s="339" customFormat="1" ht="15" hidden="1" customHeight="1" x14ac:dyDescent="0.25">
      <c r="B50" s="597"/>
      <c r="C50" s="489"/>
      <c r="D50" s="461">
        <v>201</v>
      </c>
      <c r="E50" s="461"/>
      <c r="F50" s="488"/>
      <c r="G50" s="456" t="s">
        <v>863</v>
      </c>
      <c r="H50" s="344">
        <f>+'P02 2025'!H30</f>
        <v>1</v>
      </c>
      <c r="I50" s="344">
        <f>+'P02 2025'!AA33</f>
        <v>1</v>
      </c>
      <c r="J50" s="342">
        <f ca="1">SUMIF(S$3:$AF35,"ok",S50:AF50)</f>
        <v>0</v>
      </c>
      <c r="K50" s="693">
        <f t="shared" ca="1" si="4"/>
        <v>0</v>
      </c>
      <c r="L50" s="344">
        <v>0</v>
      </c>
      <c r="M50" s="997">
        <f t="shared" si="15"/>
        <v>0</v>
      </c>
      <c r="N50" s="344">
        <f t="shared" si="29"/>
        <v>1</v>
      </c>
      <c r="O50" s="997">
        <f t="shared" si="30"/>
        <v>1</v>
      </c>
      <c r="P50" s="345">
        <v>0</v>
      </c>
      <c r="Q50" s="345">
        <f t="shared" si="31"/>
        <v>0</v>
      </c>
      <c r="R50" s="1219" t="str">
        <f t="shared" si="26"/>
        <v>0,00%</v>
      </c>
      <c r="S50" s="621">
        <v>0</v>
      </c>
      <c r="T50" s="621">
        <v>0</v>
      </c>
      <c r="U50" s="621">
        <v>0</v>
      </c>
      <c r="V50" s="1213">
        <v>0</v>
      </c>
      <c r="W50" s="630"/>
      <c r="X50" s="630"/>
      <c r="Y50" s="630"/>
      <c r="Z50" s="634"/>
      <c r="AA50" s="630"/>
      <c r="AB50" s="630"/>
      <c r="AC50" s="630"/>
      <c r="AD50" s="630"/>
      <c r="AE50" s="630"/>
      <c r="AF50" s="630">
        <f>+'P02 2024'!GS16</f>
        <v>2598.75</v>
      </c>
      <c r="AG50" s="485"/>
      <c r="AI50" s="487"/>
      <c r="AJ50" s="487"/>
      <c r="AK50" s="487"/>
      <c r="AL50" s="487"/>
      <c r="AM50" s="982"/>
      <c r="AN50" s="341"/>
      <c r="AO50" s="341"/>
    </row>
    <row r="51" spans="1:41" s="339" customFormat="1" ht="15" hidden="1" customHeight="1" x14ac:dyDescent="0.25">
      <c r="B51" s="597"/>
      <c r="C51" s="489"/>
      <c r="D51" s="461">
        <v>202</v>
      </c>
      <c r="E51" s="461"/>
      <c r="F51" s="488"/>
      <c r="G51" s="456" t="s">
        <v>864</v>
      </c>
      <c r="H51" s="344">
        <f>+'P02 2025'!H31</f>
        <v>1</v>
      </c>
      <c r="I51" s="344">
        <f>+'P02 2025'!AA34</f>
        <v>1</v>
      </c>
      <c r="J51" s="342">
        <f ca="1">SUMIF(S$3:$AF36,"ok",S51:AF51)</f>
        <v>0</v>
      </c>
      <c r="K51" s="693">
        <f t="shared" ca="1" si="4"/>
        <v>0</v>
      </c>
      <c r="L51" s="344">
        <v>0</v>
      </c>
      <c r="M51" s="997">
        <f t="shared" si="15"/>
        <v>0</v>
      </c>
      <c r="N51" s="344">
        <f t="shared" si="29"/>
        <v>1</v>
      </c>
      <c r="O51" s="997">
        <f t="shared" si="30"/>
        <v>1</v>
      </c>
      <c r="P51" s="345">
        <v>0</v>
      </c>
      <c r="Q51" s="345">
        <v>0</v>
      </c>
      <c r="R51" s="1219" t="str">
        <f t="shared" si="26"/>
        <v>0,00%</v>
      </c>
      <c r="S51" s="621">
        <v>0</v>
      </c>
      <c r="T51" s="621"/>
      <c r="U51" s="621">
        <v>0</v>
      </c>
      <c r="V51" s="1213">
        <v>0</v>
      </c>
      <c r="W51" s="630"/>
      <c r="X51" s="630"/>
      <c r="Y51" s="630"/>
      <c r="Z51" s="634"/>
      <c r="AA51" s="630"/>
      <c r="AB51" s="630"/>
      <c r="AC51" s="630"/>
      <c r="AD51" s="630"/>
      <c r="AE51" s="630"/>
      <c r="AF51" s="630"/>
      <c r="AG51" s="485"/>
      <c r="AJ51" s="487"/>
      <c r="AK51" s="487"/>
      <c r="AL51" s="487"/>
      <c r="AM51" s="982"/>
      <c r="AN51" s="341"/>
      <c r="AO51" s="341"/>
    </row>
    <row r="52" spans="1:41" s="339" customFormat="1" ht="15" hidden="1" customHeight="1" x14ac:dyDescent="0.25">
      <c r="B52" s="597"/>
      <c r="C52" s="489"/>
      <c r="D52" s="489">
        <v>999</v>
      </c>
      <c r="E52" s="489"/>
      <c r="F52" s="488"/>
      <c r="G52" s="456" t="s">
        <v>51</v>
      </c>
      <c r="H52" s="344">
        <f>+'P02 2025'!H32</f>
        <v>16</v>
      </c>
      <c r="I52" s="344">
        <f>+'P02 2025'!AA35</f>
        <v>16</v>
      </c>
      <c r="J52" s="342">
        <f ca="1">SUMIF(S$3:$AF37,"ok",S52:AF52)</f>
        <v>0</v>
      </c>
      <c r="K52" s="693">
        <f t="shared" ca="1" si="4"/>
        <v>0</v>
      </c>
      <c r="L52" s="344">
        <v>0</v>
      </c>
      <c r="M52" s="997">
        <f t="shared" ref="M52:M63" si="32">IFERROR(+L52/I52,0)</f>
        <v>0</v>
      </c>
      <c r="N52" s="344">
        <f t="shared" si="29"/>
        <v>16</v>
      </c>
      <c r="O52" s="997">
        <f t="shared" si="30"/>
        <v>1</v>
      </c>
      <c r="P52" s="345">
        <f>+'P02 2024'!Z33</f>
        <v>9.3780000000000001</v>
      </c>
      <c r="Q52" s="345">
        <f t="shared" si="31"/>
        <v>0</v>
      </c>
      <c r="R52" s="1219">
        <f t="shared" si="26"/>
        <v>0</v>
      </c>
      <c r="S52" s="621">
        <v>0</v>
      </c>
      <c r="T52" s="621">
        <v>0</v>
      </c>
      <c r="U52" s="621">
        <v>0</v>
      </c>
      <c r="V52" s="1213">
        <v>0</v>
      </c>
      <c r="W52" s="630">
        <v>0</v>
      </c>
      <c r="X52" s="630">
        <v>0</v>
      </c>
      <c r="Y52" s="630">
        <v>0</v>
      </c>
      <c r="Z52" s="630">
        <v>0</v>
      </c>
      <c r="AA52" s="630">
        <v>0</v>
      </c>
      <c r="AB52" s="630">
        <v>0</v>
      </c>
      <c r="AC52" s="630">
        <v>0</v>
      </c>
      <c r="AD52" s="630">
        <v>0</v>
      </c>
      <c r="AE52" s="630">
        <v>0</v>
      </c>
      <c r="AF52" s="630">
        <v>0</v>
      </c>
      <c r="AG52" s="485"/>
      <c r="AJ52" s="487"/>
      <c r="AK52" s="487"/>
      <c r="AL52" s="487"/>
      <c r="AM52" s="982"/>
      <c r="AN52" s="982"/>
      <c r="AO52" s="982"/>
    </row>
    <row r="53" spans="1:41" s="97" customFormat="1" ht="15" customHeight="1" x14ac:dyDescent="0.25">
      <c r="A53" s="236"/>
      <c r="B53" s="961" t="s">
        <v>846</v>
      </c>
      <c r="C53" s="238" t="s">
        <v>2</v>
      </c>
      <c r="D53" s="47"/>
      <c r="E53" s="47"/>
      <c r="F53" s="114"/>
      <c r="G53" s="618" t="s">
        <v>149</v>
      </c>
      <c r="H53" s="195">
        <f>+H54</f>
        <v>1419191</v>
      </c>
      <c r="I53" s="195">
        <f>+I54</f>
        <v>1348231</v>
      </c>
      <c r="J53" s="195">
        <f ca="1">SUMIF(S$3:$AF36,"ok",S53:AF53)</f>
        <v>4506.134</v>
      </c>
      <c r="K53" s="993">
        <f t="shared" ca="1" si="4"/>
        <v>3.3422566310965999E-3</v>
      </c>
      <c r="L53" s="196">
        <f>+L54</f>
        <v>171606.99</v>
      </c>
      <c r="M53" s="993">
        <f t="shared" si="32"/>
        <v>0.12728307686145771</v>
      </c>
      <c r="N53" s="196">
        <f t="shared" ref="N53:N63" si="33">+I53-L53</f>
        <v>1176624.01</v>
      </c>
      <c r="O53" s="993">
        <f t="shared" si="30"/>
        <v>0.87271692313854232</v>
      </c>
      <c r="P53" s="111">
        <f>+P54</f>
        <v>1319079.2619999999</v>
      </c>
      <c r="Q53" s="111">
        <f>+Q54</f>
        <v>146379.43476800001</v>
      </c>
      <c r="R53" s="993">
        <f t="shared" si="26"/>
        <v>0.11097091659682239</v>
      </c>
      <c r="S53" s="426">
        <v>0</v>
      </c>
      <c r="T53" s="426">
        <v>0</v>
      </c>
      <c r="U53" s="109">
        <f t="shared" ref="U53:Y53" si="34">+U54</f>
        <v>4506.134</v>
      </c>
      <c r="V53" s="109">
        <f t="shared" si="34"/>
        <v>146379.43476800001</v>
      </c>
      <c r="W53" s="109">
        <f t="shared" ref="W53:X54" si="35">+W54</f>
        <v>15943.098</v>
      </c>
      <c r="X53" s="109">
        <f t="shared" si="35"/>
        <v>81081.53</v>
      </c>
      <c r="Y53" s="109">
        <f t="shared" si="34"/>
        <v>52289.868000000002</v>
      </c>
      <c r="Z53" s="109">
        <f t="shared" ref="Z53:AC54" si="36">+Z54</f>
        <v>41602.899999999994</v>
      </c>
      <c r="AA53" s="109">
        <f t="shared" si="36"/>
        <v>70910.018999999986</v>
      </c>
      <c r="AB53" s="109">
        <f t="shared" si="36"/>
        <v>74573.491999999998</v>
      </c>
      <c r="AC53" s="109">
        <f t="shared" si="36"/>
        <v>46988.108999999997</v>
      </c>
      <c r="AD53" s="109">
        <f>AD54</f>
        <v>69767.555999999997</v>
      </c>
      <c r="AE53" s="109">
        <f t="shared" ref="AE53:AF54" si="37">+AE54</f>
        <v>50411.436999999991</v>
      </c>
      <c r="AF53" s="109">
        <f>+AF54</f>
        <v>405953.66200000007</v>
      </c>
      <c r="AG53" s="339"/>
      <c r="AH53" s="339"/>
      <c r="AI53" s="339"/>
      <c r="AJ53" s="487"/>
      <c r="AK53" s="487"/>
      <c r="AL53" s="487"/>
      <c r="AM53" s="982"/>
      <c r="AN53" s="341"/>
      <c r="AO53" s="341"/>
    </row>
    <row r="54" spans="1:41" s="339" customFormat="1" ht="15" customHeight="1" x14ac:dyDescent="0.25">
      <c r="A54" s="200"/>
      <c r="B54" s="555"/>
      <c r="C54" s="603">
        <v>3</v>
      </c>
      <c r="D54" s="354"/>
      <c r="E54" s="354"/>
      <c r="F54" s="355"/>
      <c r="G54" s="648" t="s">
        <v>87</v>
      </c>
      <c r="H54" s="342">
        <f>+H55</f>
        <v>1419191</v>
      </c>
      <c r="I54" s="342">
        <f>+I55</f>
        <v>1348231</v>
      </c>
      <c r="J54" s="342">
        <f ca="1">+J55</f>
        <v>4506.134</v>
      </c>
      <c r="K54" s="693">
        <f t="shared" ca="1" si="4"/>
        <v>3.3422566310965999E-3</v>
      </c>
      <c r="L54" s="343">
        <f>+L55</f>
        <v>171606.99</v>
      </c>
      <c r="M54" s="997">
        <f t="shared" si="32"/>
        <v>0.12728307686145771</v>
      </c>
      <c r="N54" s="343">
        <f t="shared" si="33"/>
        <v>1176624.01</v>
      </c>
      <c r="O54" s="997">
        <f t="shared" si="30"/>
        <v>0.87271692313854232</v>
      </c>
      <c r="P54" s="241">
        <f>+P55</f>
        <v>1319079.2619999999</v>
      </c>
      <c r="Q54" s="241">
        <f>+Q55</f>
        <v>146379.43476800001</v>
      </c>
      <c r="R54" s="997">
        <f t="shared" si="26"/>
        <v>0.11097091659682239</v>
      </c>
      <c r="S54" s="621">
        <f>+S55</f>
        <v>0</v>
      </c>
      <c r="T54" s="621">
        <f>+T55</f>
        <v>0</v>
      </c>
      <c r="U54" s="384">
        <f>+U55</f>
        <v>4506.134</v>
      </c>
      <c r="V54" s="384">
        <f>+V55</f>
        <v>146379.43476800001</v>
      </c>
      <c r="W54" s="384">
        <f t="shared" si="35"/>
        <v>15943.098</v>
      </c>
      <c r="X54" s="384">
        <f t="shared" si="35"/>
        <v>81081.53</v>
      </c>
      <c r="Y54" s="384">
        <f>+Y55</f>
        <v>52289.868000000002</v>
      </c>
      <c r="Z54" s="384">
        <f t="shared" si="36"/>
        <v>41602.899999999994</v>
      </c>
      <c r="AA54" s="384">
        <f t="shared" si="36"/>
        <v>70910.018999999986</v>
      </c>
      <c r="AB54" s="384">
        <f t="shared" si="36"/>
        <v>74573.491999999998</v>
      </c>
      <c r="AC54" s="384">
        <f t="shared" si="36"/>
        <v>46988.108999999997</v>
      </c>
      <c r="AD54" s="384">
        <f>AD55</f>
        <v>69767.555999999997</v>
      </c>
      <c r="AE54" s="384">
        <f>+AE55</f>
        <v>50411.436999999991</v>
      </c>
      <c r="AF54" s="349">
        <f t="shared" si="37"/>
        <v>405953.66200000007</v>
      </c>
      <c r="AJ54" s="487"/>
      <c r="AK54" s="487"/>
      <c r="AL54" s="487"/>
      <c r="AM54" s="982"/>
      <c r="AN54" s="341"/>
      <c r="AO54" s="341"/>
    </row>
    <row r="55" spans="1:41" s="339" customFormat="1" ht="15" customHeight="1" x14ac:dyDescent="0.25">
      <c r="A55" s="200"/>
      <c r="B55" s="555"/>
      <c r="C55" s="603"/>
      <c r="D55" s="354">
        <v>602</v>
      </c>
      <c r="E55" s="354"/>
      <c r="F55" s="355"/>
      <c r="G55" s="588" t="s">
        <v>315</v>
      </c>
      <c r="H55" s="342">
        <f>SUM(H56:H60)</f>
        <v>1419191</v>
      </c>
      <c r="I55" s="342">
        <f>SUM(I56:I60)</f>
        <v>1348231</v>
      </c>
      <c r="J55" s="342">
        <f ca="1">SUMIF(S$3:$AF39,"ok",S55:AF55)</f>
        <v>4506.134</v>
      </c>
      <c r="K55" s="693">
        <f t="shared" ca="1" si="4"/>
        <v>3.3422566310965999E-3</v>
      </c>
      <c r="L55" s="343">
        <f>SUM(L56:L60)</f>
        <v>171606.99</v>
      </c>
      <c r="M55" s="997">
        <f t="shared" si="32"/>
        <v>0.12728307686145771</v>
      </c>
      <c r="N55" s="343">
        <f t="shared" si="33"/>
        <v>1176624.01</v>
      </c>
      <c r="O55" s="997">
        <f t="shared" si="30"/>
        <v>0.87271692313854232</v>
      </c>
      <c r="P55" s="241">
        <f>+P57+P56+P58+P59+P60</f>
        <v>1319079.2619999999</v>
      </c>
      <c r="Q55" s="241">
        <f>+Q57+Q56+Q58+Q59+Q60</f>
        <v>146379.43476800001</v>
      </c>
      <c r="R55" s="997">
        <f t="shared" ref="R55:R60" si="38">IFERROR(Q55/P55,"0,00%")</f>
        <v>0.11097091659682239</v>
      </c>
      <c r="S55" s="621">
        <f>SUM(S56:S60)</f>
        <v>0</v>
      </c>
      <c r="T55" s="621">
        <f>SUM(T56:T60)</f>
        <v>0</v>
      </c>
      <c r="U55" s="384">
        <f>+SUM(U56:U58)</f>
        <v>4506.134</v>
      </c>
      <c r="V55" s="384">
        <f>+SUM(V56:V58)</f>
        <v>146379.43476800001</v>
      </c>
      <c r="W55" s="384">
        <f t="shared" ref="W55:Y55" si="39">SUM(W56:W60)</f>
        <v>15943.098</v>
      </c>
      <c r="X55" s="384">
        <f t="shared" si="39"/>
        <v>81081.53</v>
      </c>
      <c r="Y55" s="384">
        <f t="shared" si="39"/>
        <v>52289.868000000002</v>
      </c>
      <c r="Z55" s="384">
        <f>+SUM(Z56:Z60)</f>
        <v>41602.899999999994</v>
      </c>
      <c r="AA55" s="384">
        <f>+SUM(AA56:AA60)</f>
        <v>70910.018999999986</v>
      </c>
      <c r="AB55" s="384">
        <f>SUM(AB56:AB60)</f>
        <v>74573.491999999998</v>
      </c>
      <c r="AC55" s="241">
        <f>SUM(AC56:AC60)</f>
        <v>46988.108999999997</v>
      </c>
      <c r="AD55" s="241">
        <f>SUM(AD56:AD60)</f>
        <v>69767.555999999997</v>
      </c>
      <c r="AE55" s="384">
        <f>+SUM(AE56:AE60)</f>
        <v>50411.436999999991</v>
      </c>
      <c r="AF55" s="349">
        <f>SUM(AF56:AF60)</f>
        <v>405953.66200000007</v>
      </c>
      <c r="AI55" s="487"/>
      <c r="AJ55" s="487"/>
      <c r="AK55" s="487"/>
      <c r="AL55" s="487"/>
      <c r="AM55" s="982"/>
      <c r="AN55" s="341"/>
      <c r="AO55" s="341"/>
    </row>
    <row r="56" spans="1:41" s="339" customFormat="1" ht="15" hidden="1" customHeight="1" x14ac:dyDescent="0.2">
      <c r="B56" s="597"/>
      <c r="C56" s="489"/>
      <c r="D56" s="461"/>
      <c r="E56" s="461">
        <v>1</v>
      </c>
      <c r="F56" s="488"/>
      <c r="G56" s="588" t="s">
        <v>336</v>
      </c>
      <c r="H56" s="347">
        <f>+'P02 2025'!H33+70960</f>
        <v>707902</v>
      </c>
      <c r="I56" s="343">
        <f>+'P02 2025'!AA36</f>
        <v>596942.18299999996</v>
      </c>
      <c r="J56" s="342">
        <f ca="1">SUMIF(S$3:$AF40,"ok",S56:AF56)</f>
        <v>0</v>
      </c>
      <c r="K56" s="693">
        <f t="shared" ca="1" si="4"/>
        <v>0</v>
      </c>
      <c r="L56" s="342">
        <v>0</v>
      </c>
      <c r="M56" s="997">
        <f t="shared" si="32"/>
        <v>0</v>
      </c>
      <c r="N56" s="344">
        <f t="shared" si="33"/>
        <v>596942.18299999996</v>
      </c>
      <c r="O56" s="997">
        <f t="shared" si="30"/>
        <v>1</v>
      </c>
      <c r="P56" s="345">
        <f>+'P02 2024'!Z34</f>
        <v>502652.46400000004</v>
      </c>
      <c r="Q56" s="345">
        <f>SUMIF($S$3:$AF$3,"SI",S56:AF56)</f>
        <v>140596.334768</v>
      </c>
      <c r="R56" s="1219">
        <f t="shared" si="38"/>
        <v>0.27970883430902665</v>
      </c>
      <c r="S56" s="621">
        <v>0</v>
      </c>
      <c r="T56" s="621">
        <v>0</v>
      </c>
      <c r="U56" s="621">
        <v>0</v>
      </c>
      <c r="V56" s="1213">
        <f>+'P02 2024'!Q9</f>
        <v>140596.334768</v>
      </c>
      <c r="W56" s="630">
        <v>0</v>
      </c>
      <c r="X56" s="630">
        <f>+'P02 2024'!BA10</f>
        <v>58184.337</v>
      </c>
      <c r="Y56" s="630">
        <f>+'P02 2024'!BS11</f>
        <v>46975.502999999997</v>
      </c>
      <c r="Z56" s="631">
        <v>0</v>
      </c>
      <c r="AA56" s="630">
        <f>+'P02 2024'!DD9</f>
        <v>38789.557999999997</v>
      </c>
      <c r="AB56" s="630">
        <f>+'P02 2024'!DV9</f>
        <v>19394.778999999999</v>
      </c>
      <c r="AC56" s="630">
        <v>0</v>
      </c>
      <c r="AD56" s="633">
        <v>19394.778999999999</v>
      </c>
      <c r="AE56" s="384">
        <f>+'P02 2024'!GA10</f>
        <v>19394.778999999999</v>
      </c>
      <c r="AF56" s="345">
        <f>+'P02 2024'!GS17</f>
        <v>259951.18799999999</v>
      </c>
      <c r="AM56" s="341"/>
      <c r="AN56" s="341"/>
      <c r="AO56" s="341"/>
    </row>
    <row r="57" spans="1:41" s="339" customFormat="1" ht="15" hidden="1" customHeight="1" x14ac:dyDescent="0.2">
      <c r="B57" s="597"/>
      <c r="C57" s="489"/>
      <c r="D57" s="461"/>
      <c r="E57" s="461">
        <v>2</v>
      </c>
      <c r="F57" s="488"/>
      <c r="G57" s="588" t="s">
        <v>337</v>
      </c>
      <c r="H57" s="347">
        <f>+'P02 2025'!H34</f>
        <v>311367.39799999999</v>
      </c>
      <c r="I57" s="343">
        <f>+'P02 2025'!AA37</f>
        <v>315368</v>
      </c>
      <c r="J57" s="342">
        <f ca="1">SUMIF(S$3:$AF41,"ok",S57:AF57)</f>
        <v>4506.134</v>
      </c>
      <c r="K57" s="693">
        <f t="shared" ca="1" si="4"/>
        <v>1.4288494710940869E-2</v>
      </c>
      <c r="L57" s="342">
        <f>+'P02 2025'!AC38</f>
        <v>171606.99</v>
      </c>
      <c r="M57" s="997">
        <f t="shared" si="32"/>
        <v>0.54414839172014917</v>
      </c>
      <c r="N57" s="344">
        <f t="shared" si="33"/>
        <v>143761.01</v>
      </c>
      <c r="O57" s="997">
        <f t="shared" si="30"/>
        <v>0.45585160827985088</v>
      </c>
      <c r="P57" s="345">
        <f>+'P02 2024'!Z36</f>
        <v>369101.408</v>
      </c>
      <c r="Q57" s="345">
        <f>SUMIF($S$3:$AF$3,"SI",S57:AF57)</f>
        <v>5783.1</v>
      </c>
      <c r="R57" s="1219">
        <f t="shared" si="38"/>
        <v>1.5668051854193957E-2</v>
      </c>
      <c r="S57" s="621">
        <v>0</v>
      </c>
      <c r="T57" s="621">
        <v>0</v>
      </c>
      <c r="U57" s="621">
        <f>+'P02 2025'!R9</f>
        <v>4506.134</v>
      </c>
      <c r="V57" s="1213">
        <f>+'P02 2024'!Q10</f>
        <v>5783.1</v>
      </c>
      <c r="W57" s="630">
        <f>+'P02 2024'!AI10</f>
        <v>15943.098</v>
      </c>
      <c r="X57" s="630">
        <f>+'P02 2024'!BA11</f>
        <v>20298.442999999999</v>
      </c>
      <c r="Y57" s="630">
        <f>+'P02 2024'!BS12</f>
        <v>5314.366</v>
      </c>
      <c r="Z57" s="631">
        <f>+'P02 2024'!CL10</f>
        <v>15413.8</v>
      </c>
      <c r="AA57" s="635">
        <f>+'P02 2024'!DD10</f>
        <v>29521.712</v>
      </c>
      <c r="AB57" s="630">
        <f>+'P02 2024'!DV10</f>
        <v>13195.513000000001</v>
      </c>
      <c r="AC57" s="632">
        <f>+'P02 2024'!EN10</f>
        <v>15601.513000000001</v>
      </c>
      <c r="AD57" s="633">
        <v>29381.177</v>
      </c>
      <c r="AE57" s="345">
        <f>+'P02 2024'!GA11</f>
        <v>7426.3090000000002</v>
      </c>
      <c r="AF57" s="345">
        <f>+'P02 2024'!GS18</f>
        <v>74518.740000000005</v>
      </c>
      <c r="AM57" s="341"/>
      <c r="AN57" s="341"/>
      <c r="AO57" s="341"/>
    </row>
    <row r="58" spans="1:41" s="339" customFormat="1" ht="15" hidden="1" customHeight="1" x14ac:dyDescent="0.2">
      <c r="B58" s="597"/>
      <c r="C58" s="489"/>
      <c r="D58" s="461"/>
      <c r="E58" s="461">
        <v>3</v>
      </c>
      <c r="F58" s="488"/>
      <c r="G58" s="588" t="s">
        <v>503</v>
      </c>
      <c r="H58" s="347">
        <f>+'P02 2025'!H36</f>
        <v>236820.785</v>
      </c>
      <c r="I58" s="343">
        <f>+'P02 2025'!AA39</f>
        <v>272819.58100000001</v>
      </c>
      <c r="J58" s="342">
        <f ca="1">SUMIF(S$3:$AF42,"ok",S58:AF58)</f>
        <v>0</v>
      </c>
      <c r="K58" s="693">
        <f t="shared" ca="1" si="4"/>
        <v>0</v>
      </c>
      <c r="L58" s="342">
        <v>0</v>
      </c>
      <c r="M58" s="997">
        <f t="shared" si="32"/>
        <v>0</v>
      </c>
      <c r="N58" s="344">
        <f t="shared" si="33"/>
        <v>272819.58100000001</v>
      </c>
      <c r="O58" s="997">
        <f t="shared" si="30"/>
        <v>1</v>
      </c>
      <c r="P58" s="345">
        <f>+'P02 2024'!Z38</f>
        <v>342848.21799999999</v>
      </c>
      <c r="Q58" s="345">
        <f>SUMIF($S$3:$AF$3,"SI",S58:AF58)</f>
        <v>0</v>
      </c>
      <c r="R58" s="1219">
        <f t="shared" si="38"/>
        <v>0</v>
      </c>
      <c r="S58" s="621">
        <v>0</v>
      </c>
      <c r="T58" s="621">
        <v>0</v>
      </c>
      <c r="U58" s="621">
        <v>0</v>
      </c>
      <c r="V58" s="1213">
        <v>0</v>
      </c>
      <c r="W58" s="630">
        <v>0</v>
      </c>
      <c r="X58" s="630">
        <v>0</v>
      </c>
      <c r="Y58" s="630">
        <v>0</v>
      </c>
      <c r="Z58" s="631">
        <f>+'P02 2024'!CL11</f>
        <v>20991.599999999999</v>
      </c>
      <c r="AA58" s="630">
        <v>0</v>
      </c>
      <c r="AB58" s="630">
        <f>+'P02 2024'!DV11</f>
        <v>41983.199999999997</v>
      </c>
      <c r="AC58" s="630">
        <f>+'P02 2024'!EN11</f>
        <v>20991.599999999999</v>
      </c>
      <c r="AD58" s="633">
        <v>20991.599999999999</v>
      </c>
      <c r="AE58" s="345">
        <f>+'P02 2024'!GA12</f>
        <v>20991.599999999999</v>
      </c>
      <c r="AF58" s="345">
        <f>+'P02 2024'!GS19</f>
        <v>23990.400000000001</v>
      </c>
      <c r="AM58" s="341"/>
      <c r="AN58" s="341"/>
      <c r="AO58" s="341"/>
    </row>
    <row r="59" spans="1:41" s="339" customFormat="1" ht="15" hidden="1" customHeight="1" x14ac:dyDescent="0.2">
      <c r="B59" s="597"/>
      <c r="C59" s="489"/>
      <c r="D59" s="461"/>
      <c r="E59" s="461">
        <v>4</v>
      </c>
      <c r="F59" s="488"/>
      <c r="G59" s="588" t="s">
        <v>615</v>
      </c>
      <c r="H59" s="347">
        <f>+'P02 2025'!H37</f>
        <v>91100.816999999995</v>
      </c>
      <c r="I59" s="343">
        <f>+'P02 2025'!AA40</f>
        <v>91101.236000000004</v>
      </c>
      <c r="J59" s="342">
        <f ca="1">SUMIF(S$3:$AF43,"ok",S59:AF59)</f>
        <v>0</v>
      </c>
      <c r="K59" s="693">
        <f t="shared" ca="1" si="4"/>
        <v>0</v>
      </c>
      <c r="L59" s="342">
        <v>0</v>
      </c>
      <c r="M59" s="997">
        <f t="shared" si="32"/>
        <v>0</v>
      </c>
      <c r="N59" s="344">
        <f t="shared" si="33"/>
        <v>91101.236000000004</v>
      </c>
      <c r="O59" s="997">
        <f t="shared" si="30"/>
        <v>1</v>
      </c>
      <c r="P59" s="345">
        <f>+'P02 2024'!Z39</f>
        <v>43020.012000000002</v>
      </c>
      <c r="Q59" s="345">
        <f>SUMIF($S$3:$AF$3,"SI",S59:AF59)</f>
        <v>0</v>
      </c>
      <c r="R59" s="1219">
        <f t="shared" si="38"/>
        <v>0</v>
      </c>
      <c r="S59" s="621">
        <v>0</v>
      </c>
      <c r="T59" s="621">
        <v>0</v>
      </c>
      <c r="U59" s="621">
        <v>0</v>
      </c>
      <c r="V59" s="1213">
        <v>0</v>
      </c>
      <c r="W59" s="630">
        <v>0</v>
      </c>
      <c r="X59" s="630">
        <f>+'P02 2024'!BA12</f>
        <v>2598.75</v>
      </c>
      <c r="Y59" s="630">
        <f>+'P02 2024'!BS13</f>
        <v>-1E-3</v>
      </c>
      <c r="Z59" s="631">
        <f>+'P02 2024'!CL12</f>
        <v>5197.5</v>
      </c>
      <c r="AA59" s="630">
        <f>+'P02 2024'!DD11</f>
        <v>2598.7489999999998</v>
      </c>
      <c r="AB59" s="630">
        <v>0</v>
      </c>
      <c r="AC59" s="630">
        <f>+'P02 2024'!EN12</f>
        <v>10394.995999999999</v>
      </c>
      <c r="AD59" s="630">
        <v>0</v>
      </c>
      <c r="AE59" s="384">
        <f>+'P02 2024'!GA13</f>
        <v>2598.7489999999998</v>
      </c>
      <c r="AF59" s="345">
        <f>+'P02 2024'!GS20</f>
        <v>6208.9979999999996</v>
      </c>
      <c r="AM59" s="341"/>
      <c r="AN59" s="341"/>
      <c r="AO59" s="341"/>
    </row>
    <row r="60" spans="1:41" s="339" customFormat="1" ht="15" hidden="1" customHeight="1" x14ac:dyDescent="0.2">
      <c r="B60" s="597"/>
      <c r="C60" s="489"/>
      <c r="D60" s="461"/>
      <c r="E60" s="461">
        <v>5</v>
      </c>
      <c r="F60" s="488"/>
      <c r="G60" s="588" t="s">
        <v>617</v>
      </c>
      <c r="H60" s="347">
        <f>+'P02 2025'!H38</f>
        <v>72000</v>
      </c>
      <c r="I60" s="343">
        <f>+'P02 2025'!AA41</f>
        <v>72000</v>
      </c>
      <c r="J60" s="342">
        <f ca="1">SUMIF(S$3:$AF46,"ok",S60:AF60)</f>
        <v>0</v>
      </c>
      <c r="K60" s="693">
        <f t="shared" ca="1" si="4"/>
        <v>0</v>
      </c>
      <c r="L60" s="342">
        <v>0</v>
      </c>
      <c r="M60" s="997">
        <f t="shared" si="32"/>
        <v>0</v>
      </c>
      <c r="N60" s="344">
        <f t="shared" si="33"/>
        <v>72000</v>
      </c>
      <c r="O60" s="997">
        <f t="shared" si="30"/>
        <v>1</v>
      </c>
      <c r="P60" s="345">
        <f>+'P02 2024'!Z41</f>
        <v>61457.16</v>
      </c>
      <c r="Q60" s="345">
        <f>SUMIF($S$3:$AF$3,"SI",S60:AF60)</f>
        <v>0</v>
      </c>
      <c r="R60" s="1219">
        <f t="shared" si="38"/>
        <v>0</v>
      </c>
      <c r="S60" s="621">
        <v>0</v>
      </c>
      <c r="T60" s="621">
        <v>0</v>
      </c>
      <c r="U60" s="621">
        <v>0</v>
      </c>
      <c r="V60" s="1213">
        <v>0</v>
      </c>
      <c r="W60" s="630">
        <v>0</v>
      </c>
      <c r="X60" s="630">
        <v>0</v>
      </c>
      <c r="Y60" s="630">
        <v>0</v>
      </c>
      <c r="Z60" s="630">
        <v>0</v>
      </c>
      <c r="AA60" s="630">
        <v>0</v>
      </c>
      <c r="AB60" s="630">
        <v>0</v>
      </c>
      <c r="AC60" s="630">
        <v>0</v>
      </c>
      <c r="AD60" s="630">
        <v>0</v>
      </c>
      <c r="AE60" s="384">
        <v>0</v>
      </c>
      <c r="AF60" s="345">
        <f>+'P02 2024'!GS21</f>
        <v>41284.336000000003</v>
      </c>
      <c r="AM60" s="341"/>
      <c r="AN60" s="341"/>
      <c r="AO60" s="341"/>
    </row>
    <row r="61" spans="1:41" s="97" customFormat="1" ht="15" customHeight="1" x14ac:dyDescent="0.25">
      <c r="B61" s="961">
        <v>34</v>
      </c>
      <c r="C61" s="238" t="s">
        <v>2</v>
      </c>
      <c r="D61" s="47"/>
      <c r="E61" s="47"/>
      <c r="F61" s="114"/>
      <c r="G61" s="618" t="s">
        <v>83</v>
      </c>
      <c r="H61" s="195">
        <f>+H62</f>
        <v>10</v>
      </c>
      <c r="I61" s="195">
        <f>+I62</f>
        <v>10</v>
      </c>
      <c r="J61" s="195">
        <f ca="1">SUMIF(S$3:$AF47,"ok",S61:AF61)</f>
        <v>1410532.5089999998</v>
      </c>
      <c r="K61" s="993">
        <v>1</v>
      </c>
      <c r="L61" s="196">
        <f>+L62</f>
        <v>1410532.5089999998</v>
      </c>
      <c r="M61" s="993">
        <v>1</v>
      </c>
      <c r="N61" s="196">
        <f t="shared" si="33"/>
        <v>-1410522.5089999998</v>
      </c>
      <c r="O61" s="993">
        <v>1</v>
      </c>
      <c r="P61" s="110">
        <f>+P62</f>
        <v>10.5242</v>
      </c>
      <c r="Q61" s="111">
        <f>+Q62</f>
        <v>284333.60660599999</v>
      </c>
      <c r="R61" s="993">
        <v>1</v>
      </c>
      <c r="S61" s="426">
        <f>+S62</f>
        <v>1410532.5089999998</v>
      </c>
      <c r="T61" s="426">
        <f>+T62</f>
        <v>284333.60660599999</v>
      </c>
      <c r="U61" s="426">
        <v>0</v>
      </c>
      <c r="V61" s="636">
        <f>+V62</f>
        <v>0</v>
      </c>
      <c r="W61" s="636">
        <f>+W62</f>
        <v>0</v>
      </c>
      <c r="X61" s="636">
        <f>+X62</f>
        <v>0</v>
      </c>
      <c r="Y61" s="627">
        <v>0</v>
      </c>
      <c r="Z61" s="627">
        <v>0</v>
      </c>
      <c r="AA61" s="627">
        <v>0</v>
      </c>
      <c r="AB61" s="627">
        <f>+AB62</f>
        <v>0</v>
      </c>
      <c r="AC61" s="627">
        <v>0</v>
      </c>
      <c r="AD61" s="627">
        <f>AD62</f>
        <v>0</v>
      </c>
      <c r="AE61" s="627">
        <v>0</v>
      </c>
      <c r="AF61" s="627">
        <v>0</v>
      </c>
      <c r="AG61" s="339"/>
      <c r="AH61" s="339"/>
      <c r="AI61" s="339"/>
      <c r="AJ61" s="339"/>
      <c r="AK61" s="339"/>
      <c r="AL61" s="339"/>
      <c r="AM61" s="341"/>
      <c r="AN61" s="341"/>
      <c r="AO61" s="341"/>
    </row>
    <row r="62" spans="1:41" s="97" customFormat="1" ht="15" hidden="1" customHeight="1" thickBot="1" x14ac:dyDescent="0.25">
      <c r="B62" s="1138"/>
      <c r="C62" s="1122">
        <v>7</v>
      </c>
      <c r="D62" s="1123"/>
      <c r="E62" s="1124" t="s">
        <v>684</v>
      </c>
      <c r="F62" s="1125"/>
      <c r="G62" s="1126" t="s">
        <v>139</v>
      </c>
      <c r="H62" s="1127">
        <f>+'P02 2025'!H39</f>
        <v>10</v>
      </c>
      <c r="I62" s="1128">
        <f>+'P02 2025'!AA42</f>
        <v>10</v>
      </c>
      <c r="J62" s="1128">
        <f ca="1">SUMIF(S$3:$AF52,"ok",S62:AF62)</f>
        <v>1410532.5089999998</v>
      </c>
      <c r="K62" s="1129">
        <v>1</v>
      </c>
      <c r="L62" s="1127">
        <f>+'P02 2025'!AC45+'P02 2025'!AC46+'P02 2025'!AC47</f>
        <v>1410532.5089999998</v>
      </c>
      <c r="M62" s="1130">
        <v>1</v>
      </c>
      <c r="N62" s="1131">
        <f>+I62-L62</f>
        <v>-1410522.5089999998</v>
      </c>
      <c r="O62" s="1130">
        <v>1</v>
      </c>
      <c r="P62" s="1132">
        <f>+'P02 2024'!Z42</f>
        <v>10.5242</v>
      </c>
      <c r="Q62" s="1133">
        <f>SUMIF($S$3:$AF$3,"SI",S62:AF62)</f>
        <v>284333.60660599999</v>
      </c>
      <c r="R62" s="1134">
        <v>1</v>
      </c>
      <c r="S62" s="1135">
        <f>+'P02 2025'!I41++'P02 2025'!I42++'P02 2025'!I43</f>
        <v>1410532.5089999998</v>
      </c>
      <c r="T62" s="1136">
        <f>+'P02 2024'!J39+'P02 2024'!J41+'P02 2024'!J43</f>
        <v>284333.60660599999</v>
      </c>
      <c r="U62" s="1135">
        <v>0</v>
      </c>
      <c r="V62" s="1137">
        <v>0</v>
      </c>
      <c r="W62" s="1195">
        <v>0</v>
      </c>
      <c r="X62" s="1196">
        <v>0</v>
      </c>
      <c r="Y62" s="1196">
        <v>0</v>
      </c>
      <c r="Z62" s="1196">
        <v>0</v>
      </c>
      <c r="AA62" s="1196">
        <v>0</v>
      </c>
      <c r="AB62" s="1196">
        <v>0</v>
      </c>
      <c r="AC62" s="1196">
        <v>0</v>
      </c>
      <c r="AD62" s="1196">
        <v>0</v>
      </c>
      <c r="AE62" s="1196">
        <v>0</v>
      </c>
      <c r="AF62" s="1197">
        <v>0</v>
      </c>
      <c r="AG62" s="339"/>
      <c r="AH62" s="339"/>
      <c r="AI62" s="339"/>
      <c r="AJ62" s="339"/>
      <c r="AK62" s="339"/>
      <c r="AL62" s="339"/>
      <c r="AM62" s="341"/>
      <c r="AN62" s="341"/>
      <c r="AO62" s="341"/>
    </row>
    <row r="63" spans="1:41" s="97" customFormat="1" ht="15" hidden="1" customHeight="1" thickBot="1" x14ac:dyDescent="0.3">
      <c r="B63" s="1109">
        <v>35</v>
      </c>
      <c r="C63" s="1110"/>
      <c r="D63" s="1111"/>
      <c r="E63" s="1111"/>
      <c r="F63" s="1112"/>
      <c r="G63" s="1113" t="s">
        <v>124</v>
      </c>
      <c r="H63" s="1114">
        <v>0</v>
      </c>
      <c r="I63" s="1114">
        <v>0</v>
      </c>
      <c r="J63" s="1114">
        <f ca="1">SUMIF(S$3:$AF53,"ok",S63:AF63)</f>
        <v>0</v>
      </c>
      <c r="K63" s="1115">
        <f t="shared" ca="1" si="4"/>
        <v>0</v>
      </c>
      <c r="L63" s="1116">
        <v>0</v>
      </c>
      <c r="M63" s="1115">
        <f t="shared" si="32"/>
        <v>0</v>
      </c>
      <c r="N63" s="1114">
        <f t="shared" si="33"/>
        <v>0</v>
      </c>
      <c r="O63" s="1115">
        <f t="shared" si="30"/>
        <v>0</v>
      </c>
      <c r="P63" s="1116">
        <v>0</v>
      </c>
      <c r="Q63" s="1116">
        <v>0</v>
      </c>
      <c r="R63" s="1117" t="str">
        <f>IFERROR(Q63/P63,"0,00%")</f>
        <v>0,00%</v>
      </c>
      <c r="S63" s="1011">
        <v>0</v>
      </c>
      <c r="T63" s="1121">
        <v>0</v>
      </c>
      <c r="U63" s="1011">
        <v>0</v>
      </c>
      <c r="V63" s="1012">
        <v>0</v>
      </c>
      <c r="W63" s="1118">
        <v>0</v>
      </c>
      <c r="X63" s="1119">
        <v>0</v>
      </c>
      <c r="Y63" s="1119">
        <v>0</v>
      </c>
      <c r="Z63" s="1119">
        <v>0</v>
      </c>
      <c r="AA63" s="1119">
        <v>0</v>
      </c>
      <c r="AB63" s="1119">
        <v>0</v>
      </c>
      <c r="AC63" s="1119"/>
      <c r="AD63" s="1119">
        <v>0</v>
      </c>
      <c r="AE63" s="1119">
        <v>0</v>
      </c>
      <c r="AF63" s="1120">
        <v>0</v>
      </c>
      <c r="AG63" s="485"/>
      <c r="AH63" s="339"/>
      <c r="AI63" s="339"/>
      <c r="AJ63" s="339"/>
      <c r="AK63" s="339"/>
      <c r="AL63" s="339"/>
      <c r="AM63" s="341"/>
      <c r="AN63" s="341"/>
      <c r="AO63" s="341"/>
    </row>
    <row r="64" spans="1:41" ht="12.75" customHeight="1" x14ac:dyDescent="0.2">
      <c r="V64" s="183"/>
      <c r="AG64" s="485"/>
      <c r="AK64" s="339"/>
      <c r="AL64" s="339"/>
      <c r="AM64" s="341"/>
      <c r="AN64" s="341"/>
      <c r="AO64" s="341"/>
    </row>
    <row r="65" spans="1:41" ht="12.75" customHeight="1" x14ac:dyDescent="0.2">
      <c r="V65" s="183"/>
      <c r="AG65" s="485"/>
      <c r="AK65" s="339"/>
      <c r="AL65" s="339"/>
      <c r="AM65" s="341"/>
      <c r="AN65" s="341"/>
      <c r="AO65" s="341"/>
    </row>
    <row r="66" spans="1:41" ht="12.75" customHeight="1" x14ac:dyDescent="0.2">
      <c r="V66" s="183"/>
      <c r="AG66" s="485"/>
      <c r="AK66" s="339"/>
      <c r="AL66" s="339"/>
      <c r="AM66" s="341"/>
      <c r="AN66" s="341"/>
      <c r="AO66" s="341"/>
    </row>
    <row r="67" spans="1:41" ht="12.75" customHeight="1" x14ac:dyDescent="0.2">
      <c r="B67" s="1277" t="s">
        <v>1047</v>
      </c>
      <c r="C67" s="1277"/>
      <c r="D67" s="1277"/>
      <c r="E67" s="1277"/>
      <c r="F67" s="1277"/>
      <c r="G67" s="1277"/>
      <c r="H67" s="1277"/>
      <c r="I67" s="1277"/>
      <c r="J67" s="1277"/>
      <c r="K67" s="1277"/>
      <c r="L67" s="1277"/>
      <c r="M67" s="1277"/>
      <c r="N67" s="1277"/>
      <c r="O67" s="1277"/>
      <c r="P67" s="1277"/>
      <c r="Q67" s="1277"/>
      <c r="R67" s="1277"/>
      <c r="V67" s="183"/>
      <c r="AG67" s="485"/>
      <c r="AK67" s="339"/>
      <c r="AL67" s="339"/>
      <c r="AM67" s="341"/>
      <c r="AN67" s="341"/>
      <c r="AO67" s="341"/>
    </row>
    <row r="68" spans="1:41" ht="12.75" customHeight="1" x14ac:dyDescent="0.2">
      <c r="B68" s="1277"/>
      <c r="C68" s="1277"/>
      <c r="D68" s="1277"/>
      <c r="E68" s="1277"/>
      <c r="F68" s="1277"/>
      <c r="G68" s="1277"/>
      <c r="H68" s="1277"/>
      <c r="I68" s="1277"/>
      <c r="J68" s="1277"/>
      <c r="K68" s="1277"/>
      <c r="L68" s="1277"/>
      <c r="M68" s="1277"/>
      <c r="N68" s="1277"/>
      <c r="O68" s="1277"/>
      <c r="P68" s="1277"/>
      <c r="Q68" s="1277"/>
      <c r="R68" s="1277"/>
      <c r="V68" s="168"/>
      <c r="AG68" s="485"/>
      <c r="AK68" s="339"/>
      <c r="AL68" s="339"/>
      <c r="AM68" s="341"/>
      <c r="AN68" s="341"/>
      <c r="AO68" s="338"/>
    </row>
    <row r="69" spans="1:41" ht="12.75" customHeight="1" x14ac:dyDescent="0.2">
      <c r="B69" s="1277"/>
      <c r="C69" s="1277"/>
      <c r="D69" s="1277"/>
      <c r="E69" s="1277"/>
      <c r="F69" s="1277"/>
      <c r="G69" s="1277"/>
      <c r="H69" s="1277"/>
      <c r="I69" s="1277"/>
      <c r="J69" s="1277"/>
      <c r="K69" s="1277"/>
      <c r="L69" s="1277"/>
      <c r="M69" s="1277"/>
      <c r="N69" s="1277"/>
      <c r="O69" s="1277"/>
      <c r="P69" s="1277"/>
      <c r="Q69" s="1277"/>
      <c r="R69" s="1277"/>
      <c r="V69" s="183"/>
      <c r="AG69" s="485"/>
      <c r="AK69" s="339"/>
      <c r="AL69" s="339"/>
      <c r="AM69" s="341"/>
      <c r="AN69" s="341"/>
      <c r="AO69" s="338"/>
    </row>
    <row r="70" spans="1:41" ht="12.75" customHeight="1" x14ac:dyDescent="0.2">
      <c r="B70" s="1277"/>
      <c r="C70" s="1277"/>
      <c r="D70" s="1277"/>
      <c r="E70" s="1277"/>
      <c r="F70" s="1277"/>
      <c r="G70" s="1277"/>
      <c r="H70" s="1277"/>
      <c r="I70" s="1277"/>
      <c r="J70" s="1277"/>
      <c r="K70" s="1277"/>
      <c r="L70" s="1277"/>
      <c r="M70" s="1277"/>
      <c r="N70" s="1277"/>
      <c r="O70" s="1277"/>
      <c r="P70" s="1277"/>
      <c r="Q70" s="1277"/>
      <c r="R70" s="1277"/>
      <c r="V70" s="183"/>
      <c r="AG70" s="485"/>
      <c r="AK70" s="339"/>
      <c r="AL70" s="339"/>
      <c r="AM70" s="341"/>
      <c r="AN70" s="341"/>
      <c r="AO70" s="338"/>
    </row>
    <row r="71" spans="1:41" ht="12.75" customHeight="1" x14ac:dyDescent="0.2">
      <c r="A71" s="15"/>
      <c r="G71" s="126"/>
      <c r="J71" s="3"/>
      <c r="V71" s="183"/>
      <c r="AG71" s="485"/>
      <c r="AK71" s="339"/>
      <c r="AL71" s="339"/>
      <c r="AM71" s="341"/>
      <c r="AN71" s="341"/>
    </row>
    <row r="72" spans="1:41" ht="12.75" customHeight="1" x14ac:dyDescent="0.2">
      <c r="V72" s="183"/>
      <c r="AG72" s="485"/>
      <c r="AK72" s="339"/>
      <c r="AL72" s="339"/>
      <c r="AM72" s="341"/>
      <c r="AN72" s="341"/>
    </row>
    <row r="73" spans="1:41" s="15" customFormat="1" ht="12.75" customHeight="1" x14ac:dyDescent="0.2">
      <c r="B73" s="657"/>
      <c r="C73" s="658"/>
      <c r="D73" s="239"/>
      <c r="E73" s="240"/>
      <c r="F73" s="19"/>
      <c r="G73" s="16"/>
      <c r="K73" s="995"/>
      <c r="M73" s="995"/>
      <c r="O73" s="995"/>
      <c r="R73" s="995"/>
      <c r="S73" s="182"/>
      <c r="T73" s="182"/>
      <c r="U73" s="182"/>
      <c r="V73" s="183"/>
      <c r="Z73" s="23"/>
      <c r="AG73" s="485"/>
      <c r="AH73" s="339"/>
      <c r="AI73" s="339"/>
      <c r="AJ73" s="339"/>
      <c r="AK73" s="339"/>
      <c r="AL73" s="339"/>
      <c r="AM73" s="341"/>
      <c r="AN73" s="341"/>
      <c r="AO73" s="719"/>
    </row>
    <row r="74" spans="1:41" s="15" customFormat="1" ht="12.75" customHeight="1" x14ac:dyDescent="0.2">
      <c r="B74" s="657"/>
      <c r="C74" s="658"/>
      <c r="D74" s="239"/>
      <c r="E74" s="240"/>
      <c r="F74" s="19"/>
      <c r="G74" s="16"/>
      <c r="K74" s="995"/>
      <c r="M74" s="995"/>
      <c r="O74" s="995"/>
      <c r="R74" s="995"/>
      <c r="S74" s="182"/>
      <c r="T74" s="182"/>
      <c r="U74" s="182"/>
      <c r="V74" s="183"/>
      <c r="Z74" s="23"/>
      <c r="AG74" s="485"/>
      <c r="AH74" s="339"/>
      <c r="AI74" s="339"/>
      <c r="AJ74" s="339"/>
      <c r="AK74" s="339"/>
      <c r="AL74" s="339"/>
      <c r="AM74" s="341"/>
      <c r="AN74" s="341"/>
      <c r="AO74" s="719"/>
    </row>
    <row r="75" spans="1:41" s="15" customFormat="1" ht="12.75" customHeight="1" x14ac:dyDescent="0.2">
      <c r="B75" s="657"/>
      <c r="C75" s="658"/>
      <c r="D75" s="239"/>
      <c r="E75" s="240"/>
      <c r="F75" s="19"/>
      <c r="G75" s="16"/>
      <c r="K75" s="995"/>
      <c r="M75" s="995"/>
      <c r="O75" s="995"/>
      <c r="R75" s="995"/>
      <c r="S75" s="182"/>
      <c r="T75" s="182"/>
      <c r="U75" s="182"/>
      <c r="V75" s="183"/>
      <c r="Z75" s="23"/>
      <c r="AG75" s="485"/>
      <c r="AH75" s="339"/>
      <c r="AI75" s="339"/>
      <c r="AJ75" s="339"/>
      <c r="AK75" s="339"/>
      <c r="AL75" s="339"/>
      <c r="AM75" s="341"/>
      <c r="AN75" s="341"/>
      <c r="AO75" s="719"/>
    </row>
    <row r="76" spans="1:41" s="15" customFormat="1" ht="12.75" customHeight="1" x14ac:dyDescent="0.2">
      <c r="B76" s="657"/>
      <c r="C76" s="658"/>
      <c r="D76" s="239"/>
      <c r="E76" s="240"/>
      <c r="F76" s="19"/>
      <c r="G76" s="16"/>
      <c r="K76" s="995"/>
      <c r="M76" s="995"/>
      <c r="O76" s="995"/>
      <c r="Q76" s="215"/>
      <c r="R76" s="999"/>
      <c r="S76" s="215"/>
      <c r="T76" s="215"/>
      <c r="U76" s="215"/>
      <c r="V76" s="215"/>
      <c r="W76" s="215"/>
      <c r="X76" s="215"/>
      <c r="Y76" s="215"/>
      <c r="Z76" s="215"/>
      <c r="AA76" s="215"/>
      <c r="AB76" s="215"/>
      <c r="AC76" s="215"/>
      <c r="AD76" s="215"/>
      <c r="AE76" s="215"/>
      <c r="AF76" s="215"/>
      <c r="AG76" s="485"/>
      <c r="AH76" s="339"/>
      <c r="AI76" s="339"/>
      <c r="AJ76" s="339"/>
      <c r="AK76" s="339"/>
      <c r="AL76" s="339"/>
      <c r="AM76" s="341"/>
      <c r="AN76" s="341"/>
      <c r="AO76" s="719"/>
    </row>
    <row r="77" spans="1:41" s="15" customFormat="1" ht="12.75" customHeight="1" x14ac:dyDescent="0.2">
      <c r="B77" s="657"/>
      <c r="C77" s="658"/>
      <c r="D77" s="239"/>
      <c r="E77" s="240"/>
      <c r="F77" s="19"/>
      <c r="G77" s="16"/>
      <c r="K77" s="995"/>
      <c r="M77" s="995"/>
      <c r="O77" s="995"/>
      <c r="Q77" s="215"/>
      <c r="R77" s="999"/>
      <c r="S77" s="215"/>
      <c r="T77" s="215"/>
      <c r="U77" s="215"/>
      <c r="V77" s="215"/>
      <c r="W77" s="215"/>
      <c r="X77" s="215"/>
      <c r="Y77" s="215"/>
      <c r="Z77" s="215"/>
      <c r="AA77" s="215"/>
      <c r="AB77" s="215"/>
      <c r="AC77" s="215"/>
      <c r="AD77" s="215"/>
      <c r="AE77" s="215"/>
      <c r="AF77" s="215"/>
      <c r="AG77" s="485"/>
      <c r="AH77" s="339"/>
      <c r="AI77" s="339"/>
      <c r="AJ77" s="339"/>
      <c r="AK77" s="339"/>
      <c r="AL77" s="339"/>
      <c r="AM77" s="341"/>
      <c r="AN77" s="341"/>
      <c r="AO77" s="719"/>
    </row>
    <row r="78" spans="1:41" s="15" customFormat="1" ht="12.75" customHeight="1" x14ac:dyDescent="0.2">
      <c r="B78" s="657"/>
      <c r="C78" s="658"/>
      <c r="D78" s="239"/>
      <c r="E78" s="240"/>
      <c r="F78" s="19"/>
      <c r="G78" s="16"/>
      <c r="K78" s="995"/>
      <c r="M78" s="995"/>
      <c r="O78" s="995"/>
      <c r="Q78" s="215"/>
      <c r="R78" s="999"/>
      <c r="S78" s="215"/>
      <c r="T78" s="215"/>
      <c r="U78" s="215"/>
      <c r="V78" s="215"/>
      <c r="W78" s="215"/>
      <c r="X78" s="215"/>
      <c r="Y78" s="215"/>
      <c r="Z78" s="215"/>
      <c r="AA78" s="215"/>
      <c r="AB78" s="215"/>
      <c r="AC78" s="215"/>
      <c r="AD78" s="215"/>
      <c r="AE78" s="215"/>
      <c r="AF78" s="215"/>
      <c r="AG78" s="379"/>
      <c r="AH78" s="339"/>
      <c r="AI78" s="339"/>
      <c r="AJ78" s="339"/>
      <c r="AK78" s="339"/>
      <c r="AL78" s="339"/>
      <c r="AM78" s="341"/>
      <c r="AN78" s="341"/>
      <c r="AO78" s="719"/>
    </row>
    <row r="79" spans="1:41" s="15" customFormat="1" ht="12.75" customHeight="1" x14ac:dyDescent="0.2">
      <c r="B79" s="657"/>
      <c r="C79" s="658"/>
      <c r="D79" s="239"/>
      <c r="E79" s="240"/>
      <c r="F79" s="19"/>
      <c r="G79" s="16"/>
      <c r="K79" s="995"/>
      <c r="M79" s="995"/>
      <c r="O79" s="995"/>
      <c r="Q79" s="215"/>
      <c r="R79" s="999"/>
      <c r="S79" s="215"/>
      <c r="T79" s="215"/>
      <c r="U79" s="215"/>
      <c r="V79" s="215"/>
      <c r="W79" s="215"/>
      <c r="X79" s="215"/>
      <c r="Y79" s="215"/>
      <c r="Z79" s="215"/>
      <c r="AA79" s="215"/>
      <c r="AB79" s="215"/>
      <c r="AC79" s="215"/>
      <c r="AD79" s="215"/>
      <c r="AE79" s="215"/>
      <c r="AF79" s="215"/>
      <c r="AG79" s="379"/>
      <c r="AH79" s="339"/>
      <c r="AI79" s="339"/>
      <c r="AJ79" s="339"/>
      <c r="AK79" s="339"/>
      <c r="AL79" s="339"/>
      <c r="AM79" s="341"/>
      <c r="AN79" s="341"/>
      <c r="AO79" s="719"/>
    </row>
    <row r="80" spans="1:41" s="15" customFormat="1" ht="12.75" customHeight="1" x14ac:dyDescent="0.2">
      <c r="B80" s="657"/>
      <c r="C80" s="658"/>
      <c r="D80" s="239"/>
      <c r="E80" s="240"/>
      <c r="F80" s="19"/>
      <c r="G80" s="16"/>
      <c r="K80" s="995"/>
      <c r="M80" s="995"/>
      <c r="O80" s="995"/>
      <c r="R80" s="995"/>
      <c r="S80" s="182"/>
      <c r="T80" s="182"/>
      <c r="U80" s="182"/>
      <c r="V80" s="183"/>
      <c r="Z80" s="23"/>
      <c r="AG80" s="379"/>
      <c r="AH80" s="339"/>
      <c r="AI80" s="339"/>
      <c r="AJ80" s="339"/>
      <c r="AK80" s="339"/>
      <c r="AL80" s="339"/>
      <c r="AM80" s="341"/>
      <c r="AN80" s="341"/>
      <c r="AO80" s="719"/>
    </row>
    <row r="81" spans="2:41" s="15" customFormat="1" ht="12.75" customHeight="1" x14ac:dyDescent="0.2">
      <c r="B81" s="657"/>
      <c r="C81" s="658"/>
      <c r="D81" s="239"/>
      <c r="E81" s="240"/>
      <c r="F81" s="19"/>
      <c r="G81" s="16"/>
      <c r="K81" s="995"/>
      <c r="M81" s="995"/>
      <c r="O81" s="995"/>
      <c r="R81" s="995"/>
      <c r="S81" s="182"/>
      <c r="T81" s="182"/>
      <c r="U81" s="182"/>
      <c r="V81" s="183"/>
      <c r="Z81" s="23"/>
      <c r="AG81" s="379"/>
      <c r="AH81" s="339"/>
      <c r="AI81" s="339"/>
      <c r="AJ81" s="339"/>
      <c r="AK81" s="341"/>
      <c r="AL81" s="983"/>
      <c r="AM81" s="719"/>
      <c r="AN81" s="719"/>
      <c r="AO81" s="719"/>
    </row>
    <row r="82" spans="2:41" s="15" customFormat="1" ht="12.75" customHeight="1" x14ac:dyDescent="0.2">
      <c r="B82" s="657"/>
      <c r="C82" s="658"/>
      <c r="D82" s="239"/>
      <c r="E82" s="240"/>
      <c r="F82" s="19"/>
      <c r="G82" s="16"/>
      <c r="K82" s="995"/>
      <c r="M82" s="995"/>
      <c r="O82" s="995"/>
      <c r="R82" s="995"/>
      <c r="S82" s="182"/>
      <c r="T82" s="182"/>
      <c r="U82" s="182"/>
      <c r="V82" s="183"/>
      <c r="Z82" s="23"/>
      <c r="AG82" s="379"/>
      <c r="AH82" s="339"/>
      <c r="AI82" s="339"/>
      <c r="AJ82" s="339"/>
      <c r="AK82" s="341"/>
      <c r="AL82" s="983"/>
      <c r="AM82" s="719"/>
      <c r="AN82" s="719"/>
      <c r="AO82" s="719"/>
    </row>
    <row r="83" spans="2:41" s="15" customFormat="1" ht="12.75" customHeight="1" x14ac:dyDescent="0.2">
      <c r="B83" s="657"/>
      <c r="C83" s="658"/>
      <c r="D83" s="239"/>
      <c r="E83" s="240"/>
      <c r="F83" s="19"/>
      <c r="G83" s="16"/>
      <c r="K83" s="995"/>
      <c r="M83" s="995"/>
      <c r="O83" s="995"/>
      <c r="R83" s="995"/>
      <c r="S83" s="182"/>
      <c r="T83" s="182"/>
      <c r="U83" s="182"/>
      <c r="V83" s="183"/>
      <c r="Z83" s="23"/>
      <c r="AG83" s="379"/>
      <c r="AH83" s="339"/>
      <c r="AI83" s="339"/>
      <c r="AJ83" s="339"/>
      <c r="AK83" s="341"/>
      <c r="AL83" s="405"/>
      <c r="AM83" s="719"/>
      <c r="AN83" s="719"/>
      <c r="AO83" s="719"/>
    </row>
    <row r="84" spans="2:41" ht="12.75" customHeight="1" x14ac:dyDescent="0.2">
      <c r="AL84" s="405"/>
    </row>
  </sheetData>
  <mergeCells count="12">
    <mergeCell ref="B67:R70"/>
    <mergeCell ref="S6:T6"/>
    <mergeCell ref="S7:T7"/>
    <mergeCell ref="S5:AF5"/>
    <mergeCell ref="S2:AF2"/>
    <mergeCell ref="B2:R2"/>
    <mergeCell ref="B5:R5"/>
    <mergeCell ref="B6:G8"/>
    <mergeCell ref="P6:R6"/>
    <mergeCell ref="H6:O6"/>
    <mergeCell ref="U7:V7"/>
    <mergeCell ref="U6:V6"/>
  </mergeCells>
  <conditionalFormatting sqref="H46:I46 S47:AF47 H47:J52">
    <cfRule type="cellIs" dxfId="43" priority="96" operator="equal">
      <formula>"·¡$S$$P$16"</formula>
    </cfRule>
  </conditionalFormatting>
  <conditionalFormatting sqref="H21:J21 L21 L25 I25:I26 I33 H34:I34 H36 H55:I55">
    <cfRule type="cellIs" dxfId="42" priority="541" operator="equal">
      <formula>"·¡$S$$P$16"</formula>
    </cfRule>
  </conditionalFormatting>
  <conditionalFormatting sqref="I35:I36">
    <cfRule type="cellIs" dxfId="41" priority="51" operator="equal">
      <formula>"·¡$S$$P$16"</formula>
    </cfRule>
  </conditionalFormatting>
  <conditionalFormatting sqref="I62">
    <cfRule type="cellIs" dxfId="40" priority="523" operator="equal">
      <formula>"·¡$S$$P$16"</formula>
    </cfRule>
  </conditionalFormatting>
  <conditionalFormatting sqref="J14:J20 J22:J45">
    <cfRule type="cellIs" dxfId="39" priority="156" operator="equal">
      <formula>"·¡$S$$P$16"</formula>
    </cfRule>
  </conditionalFormatting>
  <conditionalFormatting sqref="J61">
    <cfRule type="cellIs" dxfId="38" priority="17" operator="equal">
      <formula>"·¡$S$$P$16"</formula>
    </cfRule>
  </conditionalFormatting>
  <conditionalFormatting sqref="J63">
    <cfRule type="cellIs" dxfId="37" priority="16" operator="equal">
      <formula>"·¡$S$$P$16"</formula>
    </cfRule>
  </conditionalFormatting>
  <conditionalFormatting sqref="J71">
    <cfRule type="cellIs" dxfId="36" priority="118" operator="equal">
      <formula>"·¡$S$$P$16"</formula>
    </cfRule>
  </conditionalFormatting>
  <conditionalFormatting sqref="L27">
    <cfRule type="cellIs" dxfId="35" priority="111" operator="equal">
      <formula>"·¡$S$$P$16"</formula>
    </cfRule>
  </conditionalFormatting>
  <conditionalFormatting sqref="L33:L37">
    <cfRule type="cellIs" dxfId="34" priority="12" operator="equal">
      <formula>"·¡$S$$P$16"</formula>
    </cfRule>
  </conditionalFormatting>
  <conditionalFormatting sqref="L39:L52">
    <cfRule type="cellIs" dxfId="33" priority="10" operator="equal">
      <formula>"·¡$S$$P$16"</formula>
    </cfRule>
  </conditionalFormatting>
  <conditionalFormatting sqref="L56:L60">
    <cfRule type="cellIs" dxfId="32" priority="32" operator="equal">
      <formula>"·¡$S$$P$16"</formula>
    </cfRule>
  </conditionalFormatting>
  <conditionalFormatting sqref="N22:N26">
    <cfRule type="cellIs" dxfId="31" priority="55" operator="equal">
      <formula>"·¡$S$$P$16"</formula>
    </cfRule>
  </conditionalFormatting>
  <conditionalFormatting sqref="N33:N36">
    <cfRule type="cellIs" dxfId="30" priority="45" operator="equal">
      <formula>"·¡$S$$P$16"</formula>
    </cfRule>
  </conditionalFormatting>
  <conditionalFormatting sqref="N46:N52">
    <cfRule type="cellIs" dxfId="29" priority="88" operator="equal">
      <formula>"·¡$S$$P$16"</formula>
    </cfRule>
  </conditionalFormatting>
  <conditionalFormatting sqref="N56:N60">
    <cfRule type="cellIs" dxfId="28" priority="39" operator="equal">
      <formula>"·¡$S$$P$16"</formula>
    </cfRule>
  </conditionalFormatting>
  <conditionalFormatting sqref="P47 P48:Q52">
    <cfRule type="cellIs" dxfId="27" priority="3" operator="equal">
      <formula>"·¡$S$$P$16"</formula>
    </cfRule>
  </conditionalFormatting>
  <conditionalFormatting sqref="P55 Q55:Q60">
    <cfRule type="cellIs" dxfId="26" priority="167" operator="equal">
      <formula>"·¡$S$$P$16"</formula>
    </cfRule>
  </conditionalFormatting>
  <conditionalFormatting sqref="P22:Q26">
    <cfRule type="cellIs" dxfId="25" priority="116" operator="equal">
      <formula>"·¡$S$$P$16"</formula>
    </cfRule>
  </conditionalFormatting>
  <conditionalFormatting sqref="P28:Q32">
    <cfRule type="cellIs" dxfId="24" priority="7" operator="equal">
      <formula>"·¡$S$$P$16"</formula>
    </cfRule>
  </conditionalFormatting>
  <conditionalFormatting sqref="P34:Q34">
    <cfRule type="cellIs" dxfId="23" priority="61" operator="equal">
      <formula>"·¡$S$$P$16"</formula>
    </cfRule>
  </conditionalFormatting>
  <conditionalFormatting sqref="P36:Q36">
    <cfRule type="cellIs" dxfId="22" priority="22" operator="equal">
      <formula>"·¡$S$$P$16"</formula>
    </cfRule>
  </conditionalFormatting>
  <conditionalFormatting sqref="Q62">
    <cfRule type="cellIs" dxfId="21" priority="239" operator="equal">
      <formula>"·¡$S$$P$16"</formula>
    </cfRule>
  </conditionalFormatting>
  <conditionalFormatting sqref="S22:S26">
    <cfRule type="cellIs" dxfId="20" priority="1" operator="equal">
      <formula>"·¡$S$$P$16"</formula>
    </cfRule>
  </conditionalFormatting>
  <conditionalFormatting sqref="S21:Y21 AC21:AF21 AE23:AE26 H25 X27:AF27">
    <cfRule type="cellIs" dxfId="19" priority="15" operator="equal">
      <formula>"·¡$S$$P$16"</formula>
    </cfRule>
  </conditionalFormatting>
  <printOptions horizontalCentered="1"/>
  <pageMargins left="1" right="1" top="1" bottom="1" header="0.5" footer="0.5"/>
  <pageSetup paperSize="5" scale="48" fitToHeight="0" orientation="landscape" r:id="rId1"/>
  <ignoredErrors>
    <ignoredError sqref="H64:R64 AD20 O10:O11 AF34 AD38:AD43 AD62:AD63 AD34:AD36 W50:AE50 AD12 R54 O52 O12 O20:O21 M21 R21:R27 Q20 L13:L14 L21 L20 R20 N21 N20 P21:Q21 P20 P12:Q12 Q52:R52 L12 O25:Q25 Q32 O63 P61 Q43 Q39 O27:Q27 O26 P33 P53 Q59 P54 P55 Q60 Q56 Q57 P36:Q37 P35 Q41 Q40 Q38 Q62 P34:Q34 N50:R50 N52 N49:O49 O16:Q16 N44 N51:R51 N48 P48:R48 P44:R44 J29 J26 J23:K25 J12 J27 J20 J13:K19 K20:K21 K12 K11 H10:J10 H13:I14 H11:J11 H12:I12 H20:I20 H28:I28 H30:I32 H29:I29 H34 P45:R45 O45 M45 P47:Q47 N47 P46:Q46 M47 M46 O47 O46 K9:K10 R13:R14 O13:Q15 N13:N15 N12 M11:N11 M13:M15 M12 M10:N10 O22 Q22 O23 Q23 O24 Q24 Q26 Q28 Q29 Q30 Q31 Q42 Q49 Q58 H19 H15 H16 H17 H18 O19:Q19 O18:P18 O17:Q17 K22 H21 I45" formula="1"/>
    <ignoredError sqref="AA20:AA24 W20:Y26 AE20:AE33 AB20:AC33 AA26:AA33 Z20:Z33 W9:AB9 AE9:AE12 H46 H62 H41:I41 H60 H47:I47 K48:K52 K42:K44 K61:K62 W11:AC12 S10:S11 T9:T11 W10:AC10 U33:U43 V11:V12 V9 V20:V26 U10:V10 U27:U32 U20 U9 U13:V19 U11:U12 U44:V44 U54 U53 U55:U63 U52 H38 H39 H40 H44:I44 H42 H43 H52 H48 H49 H50 H51 H56:H57 H58 H59 U23:U26 L26 L38:L40 L62 L57 L42:L43 U46:V51 V45" unlockedFormula="1"/>
    <ignoredError sqref="W27:Y33 AD9:AD11 AD37 AD53:AD61 W49:AE49 W53:AC53 AE53:AF63 W55:AC63 W54:AC54 H37:I37 AF35:AF43 W34:AC43 AE34:AE43 W46:AF46 W52:AF52 AF49:AF50 J37 M26 M28:N32 M33 M27:N27 O28:O33 M22:M25 M52 M34:N34 O34:O36 R28:R43 K37 M53:N60 M42 M39:N40 M41 N33 M35:N37 P63:Q63 Q61 Q35 R55:R60 Q53:R53 Q54:Q55 O53:O60 Q33 M63:N63 N61 N62 R63 J50 J47:J48 J51 J44 J58:J59 J52 K55:K60 J54:K54 K53 K63 K38:K41 J46 J62 J53 J55 J63 J60 J61 J41 J38:J40 J42:J43 J49 J56 J57 I46 I54 I53 H63:I63 I55 H61:I61 H53:H55 S13:T19 S36 S28:S32 S34 S35 S33 S22:S26 S12 S21 S27 S20 T27:T33 T34:T36 T20 T12 H27:I27 I25 H33:I33 J34 K27:K36 K26 J33 J28 J30:J32 J35:J36 I34 H35:I36 H22:H26 K45 H45 J45 K47 K46 N46 V52 V34:V43 V54 V55:V63 V53 V27:V33 T22:T26 M38 L29 L30:L32 L28 L34 L47 L46 L63 L61 L41 L53:L55 L60 L49 L56 L58:L59 L52 L50 L44:L45 L48 L51 L35:L37 L27 L33 U45" formula="1" unlockedFormula="1"/>
    <ignoredError sqref="E62" numberStoredAsText="1"/>
    <ignoredError sqref="S48:T48 S51:T51 S49 S50:T50 S57 S56 S60 S58:S59 S61 S62 S63 S53 S55 S54:T54 S52 S46:T46 S47:T47" formula="1" formulaRange="1"/>
    <ignoredError sqref="S45:T45 T37:T43 S42:S43 S39 S37 S41 S40 S38 S44:T44 T49 T53 T55:T63 T52" formula="1" formulaRange="1" unlockedFormula="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tabColor rgb="FF00B050"/>
    <pageSetUpPr fitToPage="1"/>
  </sheetPr>
  <dimension ref="A1:AR99"/>
  <sheetViews>
    <sheetView showGridLines="0" topLeftCell="A3" zoomScale="70" zoomScaleNormal="70" zoomScaleSheetLayoutView="52" workbookViewId="0">
      <pane xSplit="1" ySplit="8" topLeftCell="B11" activePane="bottomRight" state="frozen"/>
      <selection activeCell="H72" sqref="H72"/>
      <selection pane="topRight" activeCell="H72" sqref="H72"/>
      <selection pane="bottomLeft" activeCell="H72" sqref="H72"/>
      <selection pane="bottomRight" activeCell="B8" sqref="B8:G10"/>
    </sheetView>
  </sheetViews>
  <sheetFormatPr baseColWidth="10" defaultColWidth="11.42578125" defaultRowHeight="12.75" x14ac:dyDescent="0.2"/>
  <cols>
    <col min="1" max="1" width="4.28515625" style="16" customWidth="1"/>
    <col min="2" max="2" width="6.42578125" style="17" customWidth="1"/>
    <col min="3" max="3" width="6.5703125" style="18" customWidth="1"/>
    <col min="4" max="4" width="6.7109375" style="239" customWidth="1"/>
    <col min="5" max="5" width="8.5703125" style="19" hidden="1" customWidth="1"/>
    <col min="6" max="6" width="14" style="19" hidden="1" customWidth="1"/>
    <col min="7" max="7" width="45.28515625" style="16" customWidth="1"/>
    <col min="8" max="8" width="20.5703125" style="15" customWidth="1"/>
    <col min="9" max="10" width="22.7109375" style="15" customWidth="1"/>
    <col min="11" max="11" width="22.7109375" style="519" customWidth="1"/>
    <col min="12" max="12" width="22.7109375" style="23" hidden="1" customWidth="1"/>
    <col min="13" max="13" width="22.7109375" style="526" hidden="1" customWidth="1"/>
    <col min="14" max="14" width="22.7109375" style="70" hidden="1" customWidth="1"/>
    <col min="15" max="15" width="19.28515625" style="148" hidden="1" customWidth="1"/>
    <col min="16" max="17" width="22.7109375" style="698" customWidth="1"/>
    <col min="18" max="18" width="22.7109375" style="526" customWidth="1"/>
    <col min="19" max="19" width="17.7109375" style="719" hidden="1" customWidth="1"/>
    <col min="20" max="21" width="17.7109375" style="15" hidden="1" customWidth="1"/>
    <col min="22" max="22" width="19.28515625" style="166" hidden="1" customWidth="1"/>
    <col min="23" max="32" width="19.28515625" style="15" hidden="1" customWidth="1"/>
    <col min="33" max="33" width="4.5703125" style="74" customWidth="1"/>
    <col min="34" max="34" width="14" style="723" customWidth="1"/>
    <col min="35" max="35" width="56.5703125" style="1046" customWidth="1"/>
    <col min="36" max="36" width="13" style="726" hidden="1" customWidth="1"/>
    <col min="37" max="37" width="30.5703125" style="16" hidden="1" customWidth="1"/>
    <col min="38" max="38" width="15.28515625" style="16" customWidth="1"/>
    <col min="39" max="40" width="12.28515625" style="16" customWidth="1"/>
    <col min="41" max="16384" width="11.42578125" style="16"/>
  </cols>
  <sheetData>
    <row r="1" spans="2:44" ht="20.100000000000001" customHeight="1" x14ac:dyDescent="0.2"/>
    <row r="2" spans="2:44" ht="120" customHeight="1" thickBot="1" x14ac:dyDescent="0.3">
      <c r="H2" s="16"/>
      <c r="N2" s="89"/>
      <c r="O2" s="149"/>
      <c r="P2" s="699"/>
      <c r="Q2" s="699"/>
      <c r="R2" s="532"/>
      <c r="S2" s="721"/>
      <c r="T2" s="123"/>
      <c r="U2" s="123"/>
      <c r="V2" s="167"/>
      <c r="AD2" s="123"/>
      <c r="AE2" s="131"/>
    </row>
    <row r="3" spans="2:44" customFormat="1" ht="19.5" customHeight="1" x14ac:dyDescent="0.25">
      <c r="B3" s="1175"/>
      <c r="C3" s="1176"/>
      <c r="D3" s="1075"/>
      <c r="E3" s="1176"/>
      <c r="F3" s="1176"/>
      <c r="G3" s="1176"/>
      <c r="H3" s="1176"/>
      <c r="I3" s="1176"/>
      <c r="J3" s="1176"/>
      <c r="K3" s="1177"/>
      <c r="L3" s="1176"/>
      <c r="M3" s="1177"/>
      <c r="N3" s="1176"/>
      <c r="O3" s="1178"/>
      <c r="P3" s="1179"/>
      <c r="Q3" s="1179"/>
      <c r="R3" s="1177"/>
      <c r="S3" s="1180"/>
      <c r="T3" s="1176"/>
      <c r="U3" s="1176"/>
      <c r="AH3" s="1256"/>
      <c r="AI3" s="1047"/>
      <c r="AJ3" s="727"/>
    </row>
    <row r="4" spans="2:44" s="230" customFormat="1" ht="27" customHeight="1" x14ac:dyDescent="0.25">
      <c r="B4" s="1269" t="s">
        <v>736</v>
      </c>
      <c r="C4" s="1269"/>
      <c r="D4" s="1269"/>
      <c r="E4" s="1269"/>
      <c r="F4" s="1269"/>
      <c r="G4" s="1269"/>
      <c r="H4" s="1269"/>
      <c r="I4" s="1269"/>
      <c r="J4" s="1269"/>
      <c r="K4" s="1269"/>
      <c r="L4" s="1269"/>
      <c r="M4" s="1269"/>
      <c r="N4" s="1269"/>
      <c r="O4" s="1269"/>
      <c r="P4" s="1269"/>
      <c r="Q4" s="1269"/>
      <c r="R4" s="1269"/>
      <c r="S4" s="1281"/>
      <c r="T4" s="1281"/>
      <c r="U4" s="1281"/>
      <c r="V4" s="1282"/>
      <c r="W4" s="1254"/>
      <c r="X4" s="1255"/>
      <c r="Y4" s="1255"/>
      <c r="Z4" s="1255"/>
      <c r="AA4" s="1255"/>
      <c r="AB4" s="1255"/>
      <c r="AC4" s="1255"/>
      <c r="AD4" s="1255"/>
      <c r="AE4" s="1255"/>
      <c r="AF4" s="1255"/>
      <c r="AG4" s="231"/>
      <c r="AH4" s="724"/>
      <c r="AI4" s="707"/>
      <c r="AJ4" s="728"/>
    </row>
    <row r="5" spans="2:44" s="1028" customFormat="1" ht="25.9" hidden="1" customHeight="1" x14ac:dyDescent="0.25">
      <c r="B5" s="1220"/>
      <c r="C5" s="1220"/>
      <c r="D5" s="1221"/>
      <c r="E5" s="1220"/>
      <c r="F5" s="1220"/>
      <c r="G5" s="1220"/>
      <c r="H5" s="1220"/>
      <c r="I5" s="1220"/>
      <c r="J5" s="1220"/>
      <c r="K5" s="1222"/>
      <c r="L5" s="1220"/>
      <c r="M5" s="1222"/>
      <c r="N5" s="1220"/>
      <c r="O5" s="1223"/>
      <c r="P5" s="1221"/>
      <c r="Q5" s="1221"/>
      <c r="R5" s="1222"/>
      <c r="S5" s="1224"/>
      <c r="T5" s="1220"/>
      <c r="U5" s="1220"/>
      <c r="V5" s="1209"/>
      <c r="W5" s="1023"/>
      <c r="X5" s="1024"/>
      <c r="Y5" s="1024"/>
      <c r="Z5" s="1025"/>
      <c r="AA5" s="1024"/>
      <c r="AB5" s="1024"/>
      <c r="AC5" s="1024"/>
      <c r="AD5" s="1024"/>
      <c r="AE5" s="1024"/>
      <c r="AF5" s="1024"/>
      <c r="AG5" s="1026"/>
      <c r="AH5" s="724"/>
      <c r="AI5" s="1027"/>
      <c r="AJ5" s="728"/>
    </row>
    <row r="6" spans="2:44" s="1028" customFormat="1" ht="27" hidden="1" customHeight="1" x14ac:dyDescent="0.25">
      <c r="B6" s="1220"/>
      <c r="C6" s="1220"/>
      <c r="D6" s="1221"/>
      <c r="E6" s="1220"/>
      <c r="F6" s="1220"/>
      <c r="G6" s="1220"/>
      <c r="H6" s="1220"/>
      <c r="I6" s="1220"/>
      <c r="J6" s="1220"/>
      <c r="K6" s="1222"/>
      <c r="L6" s="1220"/>
      <c r="M6" s="1222"/>
      <c r="N6" s="1220"/>
      <c r="O6" s="1223"/>
      <c r="P6" s="1221"/>
      <c r="Q6" s="1221"/>
      <c r="R6" s="1222"/>
      <c r="S6" s="1225" t="s">
        <v>266</v>
      </c>
      <c r="T6" s="1226" t="s">
        <v>126</v>
      </c>
      <c r="U6" s="1225" t="s">
        <v>266</v>
      </c>
      <c r="V6" s="1226" t="s">
        <v>126</v>
      </c>
      <c r="W6" s="1029"/>
      <c r="X6" s="1029"/>
      <c r="Y6" s="1029"/>
      <c r="Z6" s="1029"/>
      <c r="AA6" s="1029"/>
      <c r="AB6" s="1029"/>
      <c r="AC6" s="1029"/>
      <c r="AD6" s="1029"/>
      <c r="AE6" s="1029"/>
      <c r="AF6" s="1029"/>
      <c r="AG6" s="1026"/>
      <c r="AH6" s="724"/>
      <c r="AI6" s="1027"/>
      <c r="AJ6" s="728"/>
    </row>
    <row r="7" spans="2:44" s="230" customFormat="1" ht="27" customHeight="1" x14ac:dyDescent="0.25">
      <c r="B7" s="1269" t="s">
        <v>142</v>
      </c>
      <c r="C7" s="1269"/>
      <c r="D7" s="1269"/>
      <c r="E7" s="1269"/>
      <c r="F7" s="1269"/>
      <c r="G7" s="1269"/>
      <c r="H7" s="1269"/>
      <c r="I7" s="1269"/>
      <c r="J7" s="1269"/>
      <c r="K7" s="1269"/>
      <c r="L7" s="1269"/>
      <c r="M7" s="1269"/>
      <c r="N7" s="1269"/>
      <c r="O7" s="1269"/>
      <c r="P7" s="1269"/>
      <c r="Q7" s="1269"/>
      <c r="R7" s="1269"/>
      <c r="S7" s="1269"/>
      <c r="T7" s="1269"/>
      <c r="U7" s="1269"/>
      <c r="V7" s="1269"/>
      <c r="W7" s="1139"/>
      <c r="X7" s="1022"/>
      <c r="Y7" s="1022"/>
      <c r="Z7" s="1022"/>
      <c r="AA7" s="1022"/>
      <c r="AB7" s="1022"/>
      <c r="AC7" s="1022"/>
      <c r="AD7" s="1022"/>
      <c r="AE7" s="1022"/>
      <c r="AF7" s="1021"/>
      <c r="AG7" s="124"/>
      <c r="AH7" s="724"/>
      <c r="AI7" s="707"/>
      <c r="AJ7" s="728"/>
    </row>
    <row r="8" spans="2:44" s="97" customFormat="1" ht="27" customHeight="1" x14ac:dyDescent="0.25">
      <c r="B8" s="1279" t="s">
        <v>276</v>
      </c>
      <c r="C8" s="1279"/>
      <c r="D8" s="1279"/>
      <c r="E8" s="1279"/>
      <c r="F8" s="1279"/>
      <c r="G8" s="1279"/>
      <c r="H8" s="1272" t="s">
        <v>1012</v>
      </c>
      <c r="I8" s="1272"/>
      <c r="J8" s="1272"/>
      <c r="K8" s="1272"/>
      <c r="L8" s="1272"/>
      <c r="M8" s="1272"/>
      <c r="N8" s="1272"/>
      <c r="O8" s="1272"/>
      <c r="P8" s="1273" t="s">
        <v>878</v>
      </c>
      <c r="Q8" s="1273"/>
      <c r="R8" s="1273"/>
      <c r="S8" s="1275"/>
      <c r="T8" s="1275"/>
      <c r="U8" s="1275"/>
      <c r="V8" s="1275"/>
      <c r="W8" s="1140"/>
      <c r="X8" s="668"/>
      <c r="Y8" s="668"/>
      <c r="Z8" s="668"/>
      <c r="AA8" s="668"/>
      <c r="AB8" s="668"/>
      <c r="AC8" s="668"/>
      <c r="AD8" s="668"/>
      <c r="AE8" s="668"/>
      <c r="AF8" s="668"/>
      <c r="AG8" s="124"/>
      <c r="AH8" s="1030"/>
      <c r="AI8" s="1030"/>
      <c r="AJ8" s="1030"/>
      <c r="AK8" s="1030"/>
      <c r="AL8" s="1030"/>
      <c r="AM8" s="1030"/>
      <c r="AN8" s="1030"/>
      <c r="AO8" s="1030"/>
    </row>
    <row r="9" spans="2:44" s="97" customFormat="1" ht="27" customHeight="1" x14ac:dyDescent="0.25">
      <c r="B9" s="1279"/>
      <c r="C9" s="1279"/>
      <c r="D9" s="1279"/>
      <c r="E9" s="1279"/>
      <c r="F9" s="1279"/>
      <c r="G9" s="1279"/>
      <c r="H9" s="637" t="s">
        <v>129</v>
      </c>
      <c r="I9" s="637" t="s">
        <v>130</v>
      </c>
      <c r="J9" s="637" t="s">
        <v>131</v>
      </c>
      <c r="K9" s="638" t="s">
        <v>132</v>
      </c>
      <c r="L9" s="637" t="s">
        <v>705</v>
      </c>
      <c r="M9" s="638" t="s">
        <v>707</v>
      </c>
      <c r="N9" s="637" t="s">
        <v>706</v>
      </c>
      <c r="O9" s="683" t="s">
        <v>708</v>
      </c>
      <c r="P9" s="639" t="s">
        <v>129</v>
      </c>
      <c r="Q9" s="640" t="s">
        <v>130</v>
      </c>
      <c r="R9" s="1015" t="s">
        <v>133</v>
      </c>
      <c r="S9" s="1275" t="s">
        <v>0</v>
      </c>
      <c r="T9" s="1275"/>
      <c r="U9" s="1275" t="s">
        <v>136</v>
      </c>
      <c r="V9" s="1275"/>
      <c r="W9" s="1140" t="s">
        <v>6</v>
      </c>
      <c r="X9" s="668" t="s">
        <v>7</v>
      </c>
      <c r="Y9" s="668" t="s">
        <v>8</v>
      </c>
      <c r="Z9" s="668" t="s">
        <v>9</v>
      </c>
      <c r="AA9" s="668" t="s">
        <v>79</v>
      </c>
      <c r="AB9" s="668" t="s">
        <v>10</v>
      </c>
      <c r="AC9" s="668" t="s">
        <v>11</v>
      </c>
      <c r="AD9" s="668" t="s">
        <v>12</v>
      </c>
      <c r="AE9" s="668" t="s">
        <v>13</v>
      </c>
      <c r="AF9" s="668" t="s">
        <v>14</v>
      </c>
      <c r="AG9" s="120"/>
      <c r="AH9" s="1030"/>
      <c r="AI9" s="1030"/>
      <c r="AJ9" s="1030"/>
      <c r="AK9" s="1030"/>
      <c r="AL9" s="1030"/>
      <c r="AM9" s="1030"/>
      <c r="AN9" s="1030"/>
      <c r="AO9" s="1030"/>
    </row>
    <row r="10" spans="2:44" ht="69.599999999999994" customHeight="1" x14ac:dyDescent="0.2">
      <c r="B10" s="1279"/>
      <c r="C10" s="1279"/>
      <c r="D10" s="1279"/>
      <c r="E10" s="1279"/>
      <c r="F10" s="1279"/>
      <c r="G10" s="1279"/>
      <c r="H10" s="641" t="s">
        <v>1005</v>
      </c>
      <c r="I10" s="641" t="s">
        <v>1006</v>
      </c>
      <c r="J10" s="641" t="s">
        <v>1062</v>
      </c>
      <c r="K10" s="642" t="s">
        <v>1063</v>
      </c>
      <c r="L10" s="641" t="s">
        <v>718</v>
      </c>
      <c r="M10" s="642" t="s">
        <v>717</v>
      </c>
      <c r="N10" s="641" t="s">
        <v>715</v>
      </c>
      <c r="O10" s="642" t="s">
        <v>716</v>
      </c>
      <c r="P10" s="643" t="s">
        <v>1059</v>
      </c>
      <c r="Q10" s="643" t="s">
        <v>1060</v>
      </c>
      <c r="R10" s="644" t="s">
        <v>1061</v>
      </c>
      <c r="S10" s="1227" t="s">
        <v>1013</v>
      </c>
      <c r="T10" s="625" t="s">
        <v>879</v>
      </c>
      <c r="U10" s="1227" t="s">
        <v>1013</v>
      </c>
      <c r="V10" s="625" t="s">
        <v>879</v>
      </c>
      <c r="W10" s="870" t="s">
        <v>879</v>
      </c>
      <c r="X10" s="625" t="s">
        <v>879</v>
      </c>
      <c r="Y10" s="625" t="s">
        <v>879</v>
      </c>
      <c r="Z10" s="625" t="s">
        <v>879</v>
      </c>
      <c r="AA10" s="625" t="s">
        <v>879</v>
      </c>
      <c r="AB10" s="625" t="s">
        <v>879</v>
      </c>
      <c r="AC10" s="625" t="s">
        <v>879</v>
      </c>
      <c r="AD10" s="625" t="s">
        <v>879</v>
      </c>
      <c r="AE10" s="625" t="s">
        <v>879</v>
      </c>
      <c r="AF10" s="625" t="s">
        <v>879</v>
      </c>
      <c r="AG10" s="137"/>
      <c r="AH10" s="1030"/>
      <c r="AI10" s="1030"/>
      <c r="AJ10" s="1030"/>
      <c r="AK10" s="1030"/>
      <c r="AL10" s="1030"/>
      <c r="AM10" s="1030"/>
      <c r="AN10" s="1030"/>
      <c r="AO10" s="1030"/>
    </row>
    <row r="11" spans="2:44" s="97" customFormat="1" ht="30" customHeight="1" x14ac:dyDescent="0.25">
      <c r="B11" s="1016" t="s">
        <v>91</v>
      </c>
      <c r="C11" s="684" t="s">
        <v>92</v>
      </c>
      <c r="D11" s="645" t="s">
        <v>93</v>
      </c>
      <c r="E11" s="646" t="s">
        <v>94</v>
      </c>
      <c r="F11" s="685"/>
      <c r="G11" s="647" t="s">
        <v>143</v>
      </c>
      <c r="H11" s="686">
        <f>+H12+H28+H31+H33+H35+H38+H59</f>
        <v>282286863.09600002</v>
      </c>
      <c r="I11" s="686">
        <f>+I12+I35+I38+I59+I61+I31+I28</f>
        <v>272655009.09600002</v>
      </c>
      <c r="J11" s="686">
        <f ca="1">+J12+J35+J38+J59+J61+J31+J28</f>
        <v>57606824.673999995</v>
      </c>
      <c r="K11" s="669">
        <f ca="1">IFERROR(J11/I11,"0.00%")</f>
        <v>0.21128100622467205</v>
      </c>
      <c r="L11" s="687">
        <f>+L12+L35+L38+L59+L61+L31+L28</f>
        <v>58683322.898999996</v>
      </c>
      <c r="M11" s="669">
        <f>+IFERROR(L11/I11,0)</f>
        <v>0.21522921252599467</v>
      </c>
      <c r="N11" s="688">
        <f>+I11-L11</f>
        <v>213971686.19700003</v>
      </c>
      <c r="O11" s="689">
        <f>+IFERROR(N11/I11,0)</f>
        <v>0.78477078747400542</v>
      </c>
      <c r="P11" s="690">
        <f>+P12+P28+P33+P35+P38+P59+P31</f>
        <v>290913036.55840003</v>
      </c>
      <c r="Q11" s="690">
        <f ca="1">+Q12+Q28+Q33+Q35+Q38+Q59+Q31</f>
        <v>50410516.126649998</v>
      </c>
      <c r="R11" s="669">
        <f t="shared" ref="R11:R22" ca="1" si="0">IFERROR(Q11/P11,"0.00%")</f>
        <v>0.17328379890782317</v>
      </c>
      <c r="S11" s="1228">
        <f>+S12+S28+S31+S33+S35+S38+S59+S61</f>
        <v>54994855.237999998</v>
      </c>
      <c r="T11" s="670">
        <f>+T12+T28+T31+T33+T35+T38+T59+T61</f>
        <v>23809983.524032</v>
      </c>
      <c r="U11" s="671">
        <f>+U12+U28+U31+U33+U35+U38+U59+U61+U24</f>
        <v>2575969.4359999998</v>
      </c>
      <c r="V11" s="671">
        <f>+V12+V28+V31+V33+V35+V38+V59+V61+V24</f>
        <v>26600532.602617998</v>
      </c>
      <c r="W11" s="1141">
        <f>+W14+W28+W31+W35+W38+W59</f>
        <v>40646723.973000005</v>
      </c>
      <c r="X11" s="672">
        <f>+X12+X35+X38+X59+X61</f>
        <v>25311526.335000001</v>
      </c>
      <c r="Y11" s="672">
        <f>+Y12+Y28+Y33+Y35+Y38+Y59</f>
        <v>16514214.954</v>
      </c>
      <c r="Z11" s="672">
        <f>+Z61+Z59+Z38+Z35+Z31+Z12</f>
        <v>29440863.425999999</v>
      </c>
      <c r="AA11" s="672">
        <f>+AA12+AA31+AA35+AA38+AA59</f>
        <v>31532057.048</v>
      </c>
      <c r="AB11" s="672">
        <f>+AB12+AB28+AB33+AB35+AB38+AB59+AB61</f>
        <v>19430325.350000001</v>
      </c>
      <c r="AC11" s="672">
        <f>+AC12+AC35+AC38+AC59+AC61</f>
        <v>16962563.366999999</v>
      </c>
      <c r="AD11" s="672">
        <f>AD12+AD28+AD35+AD38+AD59+AD61</f>
        <v>30963342.785999998</v>
      </c>
      <c r="AE11" s="672">
        <f>+AE12+AE35+AE38+AE59+AE61+AE28</f>
        <v>24556395.322999999</v>
      </c>
      <c r="AF11" s="672">
        <f>+AF12+AF35+AF38+AF31+AF59+AF61+AF28+AF33</f>
        <v>52735628.659999996</v>
      </c>
      <c r="AG11" s="120"/>
      <c r="AH11" s="1030"/>
      <c r="AI11" s="1030"/>
      <c r="AJ11" s="1030"/>
      <c r="AK11" s="1030"/>
      <c r="AL11" s="1030"/>
      <c r="AM11" s="1030"/>
      <c r="AN11" s="1030"/>
      <c r="AO11" s="1030"/>
      <c r="AP11" s="1030"/>
      <c r="AQ11" s="1030"/>
      <c r="AR11" s="1030"/>
    </row>
    <row r="12" spans="2:44" s="97" customFormat="1" ht="15" customHeight="1" x14ac:dyDescent="0.25">
      <c r="B12" s="965" t="s">
        <v>1</v>
      </c>
      <c r="C12" s="49" t="s">
        <v>2</v>
      </c>
      <c r="D12" s="47"/>
      <c r="E12" s="114"/>
      <c r="F12" s="171"/>
      <c r="G12" s="618" t="s">
        <v>147</v>
      </c>
      <c r="H12" s="109">
        <f>+H13+H14+H24</f>
        <v>81039720</v>
      </c>
      <c r="I12" s="109">
        <f>+I13+I14+I24</f>
        <v>81039720</v>
      </c>
      <c r="J12" s="109">
        <f ca="1">+J13+J14+J24</f>
        <v>110679.495</v>
      </c>
      <c r="K12" s="410">
        <f ca="1">IFERROR(J12/I12,"0.00%")</f>
        <v>1.3657437982263511E-3</v>
      </c>
      <c r="L12" s="109">
        <f>+L13+L14+L24</f>
        <v>462795.04300000001</v>
      </c>
      <c r="M12" s="410">
        <f>+IFERROR(L12/I12,0)</f>
        <v>5.7107186821474705E-3</v>
      </c>
      <c r="N12" s="109">
        <f>+N13+N14+N24</f>
        <v>80576924.957000002</v>
      </c>
      <c r="O12" s="691">
        <f t="shared" ref="O12:O61" si="1">+IFERROR(N12/I12,0)</f>
        <v>0.99428928131785255</v>
      </c>
      <c r="P12" s="536">
        <f>+P13+P14</f>
        <v>83168659.623999998</v>
      </c>
      <c r="Q12" s="536">
        <f>+Q13+Q14</f>
        <v>9635878.7020779997</v>
      </c>
      <c r="R12" s="520">
        <f t="shared" si="0"/>
        <v>0.11585949257377923</v>
      </c>
      <c r="S12" s="1174">
        <f>+S13+S14</f>
        <v>17447.985000000001</v>
      </c>
      <c r="T12" s="196">
        <f>+T13+T14</f>
        <v>123037.30934400001</v>
      </c>
      <c r="U12" s="109">
        <f>+U14+U13</f>
        <v>21231.510000000002</v>
      </c>
      <c r="V12" s="109">
        <f>+V14+V13</f>
        <v>9512841.3927339986</v>
      </c>
      <c r="W12" s="943">
        <f>+W13+W14</f>
        <v>34902914.839000002</v>
      </c>
      <c r="X12" s="208">
        <f>+X14</f>
        <v>9795750.813000001</v>
      </c>
      <c r="Y12" s="208">
        <f>+Y14+Y13</f>
        <v>2514134.1570000001</v>
      </c>
      <c r="Z12" s="208">
        <f>+Z14</f>
        <v>20519914.408</v>
      </c>
      <c r="AA12" s="208">
        <f>+AA14</f>
        <v>876951.478</v>
      </c>
      <c r="AB12" s="208">
        <f>+AB13+AB14</f>
        <v>212624.21</v>
      </c>
      <c r="AC12" s="208">
        <f>+AC13+AC14</f>
        <v>139685.29699999999</v>
      </c>
      <c r="AD12" s="208">
        <f>AD13+AD14</f>
        <v>250515.16899999997</v>
      </c>
      <c r="AE12" s="208">
        <f>+AE13+AE14</f>
        <v>158869.07199999999</v>
      </c>
      <c r="AF12" s="208">
        <f>+AF14</f>
        <v>1392215.5590000001</v>
      </c>
      <c r="AH12" s="1030"/>
      <c r="AI12" s="1030"/>
      <c r="AJ12" s="1030"/>
      <c r="AK12" s="1030"/>
      <c r="AL12" s="1030"/>
      <c r="AM12" s="1030"/>
      <c r="AN12" s="1030"/>
      <c r="AO12" s="1030"/>
    </row>
    <row r="13" spans="2:44" s="97" customFormat="1" ht="15" customHeight="1" x14ac:dyDescent="0.25">
      <c r="B13" s="965" t="s">
        <v>2</v>
      </c>
      <c r="C13" s="49">
        <v>2</v>
      </c>
      <c r="D13" s="47"/>
      <c r="E13" s="47"/>
      <c r="F13" s="171"/>
      <c r="G13" s="618" t="s">
        <v>86</v>
      </c>
      <c r="H13" s="109">
        <v>0</v>
      </c>
      <c r="I13" s="109">
        <v>0</v>
      </c>
      <c r="J13" s="109">
        <v>0</v>
      </c>
      <c r="K13" s="410" t="str">
        <f>IFERROR(J13/I13,"0,00%")</f>
        <v>0,00%</v>
      </c>
      <c r="L13" s="72">
        <v>0</v>
      </c>
      <c r="M13" s="410">
        <f t="shared" ref="M13:M61" si="2">+IFERROR(L13/I13,0)</f>
        <v>0</v>
      </c>
      <c r="N13" s="72">
        <f t="shared" ref="N13:N20" si="3">+I13-L13</f>
        <v>0</v>
      </c>
      <c r="O13" s="691">
        <f t="shared" si="1"/>
        <v>0</v>
      </c>
      <c r="P13" s="536">
        <v>0</v>
      </c>
      <c r="Q13" s="536">
        <v>0</v>
      </c>
      <c r="R13" s="520" t="str">
        <f t="shared" si="0"/>
        <v>0.00%</v>
      </c>
      <c r="S13" s="196">
        <v>0</v>
      </c>
      <c r="T13" s="196">
        <v>0</v>
      </c>
      <c r="U13" s="109">
        <v>0</v>
      </c>
      <c r="V13" s="109">
        <v>0</v>
      </c>
      <c r="W13" s="943">
        <v>0</v>
      </c>
      <c r="X13" s="109">
        <v>0</v>
      </c>
      <c r="Y13" s="208">
        <v>0</v>
      </c>
      <c r="Z13" s="208">
        <v>0</v>
      </c>
      <c r="AA13" s="208">
        <v>0</v>
      </c>
      <c r="AB13" s="208">
        <v>0</v>
      </c>
      <c r="AC13" s="208">
        <v>0</v>
      </c>
      <c r="AD13" s="208">
        <v>0</v>
      </c>
      <c r="AE13" s="208">
        <v>0</v>
      </c>
      <c r="AF13" s="208">
        <v>0</v>
      </c>
      <c r="AH13" s="1030"/>
      <c r="AI13" s="1030"/>
      <c r="AJ13" s="1030"/>
      <c r="AK13" s="1030"/>
      <c r="AL13" s="1030"/>
      <c r="AM13" s="1030"/>
      <c r="AN13" s="1030"/>
      <c r="AO13" s="1030"/>
    </row>
    <row r="14" spans="2:44" s="97" customFormat="1" ht="15" customHeight="1" x14ac:dyDescent="0.25">
      <c r="B14" s="965" t="s">
        <v>2</v>
      </c>
      <c r="C14" s="49">
        <v>3</v>
      </c>
      <c r="D14" s="47"/>
      <c r="E14" s="47"/>
      <c r="F14" s="171"/>
      <c r="G14" s="618" t="s">
        <v>305</v>
      </c>
      <c r="H14" s="109">
        <f>+H15+H16+H23</f>
        <v>80568118</v>
      </c>
      <c r="I14" s="109">
        <f>+I15+I16+I23</f>
        <v>80568118</v>
      </c>
      <c r="J14" s="109">
        <f ca="1">+J16+J15+J23</f>
        <v>38679.495000000003</v>
      </c>
      <c r="K14" s="410">
        <f t="shared" ref="K14:K58" ca="1" si="4">IFERROR(J14/I14,"0.00%")</f>
        <v>4.8008438027558249E-4</v>
      </c>
      <c r="L14" s="109">
        <f>+L15+L16+L23</f>
        <v>224795.04300000001</v>
      </c>
      <c r="M14" s="410">
        <f t="shared" si="2"/>
        <v>2.7901240413732886E-3</v>
      </c>
      <c r="N14" s="72">
        <f t="shared" si="3"/>
        <v>80343322.957000002</v>
      </c>
      <c r="O14" s="691">
        <f t="shared" si="1"/>
        <v>0.99720987595862676</v>
      </c>
      <c r="P14" s="536">
        <f>+P15+P16+P23</f>
        <v>83168659.623999998</v>
      </c>
      <c r="Q14" s="536">
        <f>+Q15+Q16</f>
        <v>9635878.7020779997</v>
      </c>
      <c r="R14" s="520">
        <f t="shared" si="0"/>
        <v>0.11585949257377923</v>
      </c>
      <c r="S14" s="1174">
        <f>+S15+S16</f>
        <v>17447.985000000001</v>
      </c>
      <c r="T14" s="196">
        <f>+T15+T16</f>
        <v>123037.30934400001</v>
      </c>
      <c r="U14" s="109">
        <f>+SUM(U15+U16)</f>
        <v>21231.510000000002</v>
      </c>
      <c r="V14" s="109">
        <f>+SUM(V15+V16)</f>
        <v>9512841.3927339986</v>
      </c>
      <c r="W14" s="943">
        <f>+W15+W16+W23</f>
        <v>34902914.839000002</v>
      </c>
      <c r="X14" s="208">
        <f>+X16+X15</f>
        <v>9795750.813000001</v>
      </c>
      <c r="Y14" s="208">
        <f>+Y16+Y15+Y23</f>
        <v>2514134.1570000001</v>
      </c>
      <c r="Z14" s="208">
        <f>+Z15+Z16+Z23</f>
        <v>20519914.408</v>
      </c>
      <c r="AA14" s="208">
        <f>+AA15+AA16+AA23</f>
        <v>876951.478</v>
      </c>
      <c r="AB14" s="208">
        <f>+AB15+AB16+AB23</f>
        <v>212624.21</v>
      </c>
      <c r="AC14" s="208">
        <f>+AC15+AC16+AC23</f>
        <v>139685.29699999999</v>
      </c>
      <c r="AD14" s="208">
        <f>SUM(AD15:AD23)</f>
        <v>250515.16899999997</v>
      </c>
      <c r="AE14" s="208">
        <f>+AE15+AE16+AE23</f>
        <v>158869.07199999999</v>
      </c>
      <c r="AF14" s="208">
        <f>+AF15+AF16+AF23</f>
        <v>1392215.5590000001</v>
      </c>
      <c r="AH14" s="1030"/>
      <c r="AI14" s="1030"/>
      <c r="AJ14" s="1030"/>
      <c r="AK14" s="1030"/>
      <c r="AL14" s="1030"/>
      <c r="AM14" s="1030"/>
      <c r="AN14" s="1030"/>
      <c r="AO14" s="1030"/>
    </row>
    <row r="15" spans="2:44" s="1032" customFormat="1" ht="15" customHeight="1" x14ac:dyDescent="0.25">
      <c r="B15" s="692" t="s">
        <v>2</v>
      </c>
      <c r="C15" s="353"/>
      <c r="D15" s="354">
        <v>403</v>
      </c>
      <c r="E15" s="404"/>
      <c r="F15" s="197" t="s">
        <v>217</v>
      </c>
      <c r="G15" s="648" t="s">
        <v>218</v>
      </c>
      <c r="H15" s="241">
        <f>+'P03 2025'!H3+'P03 2025'!H4</f>
        <v>76763405</v>
      </c>
      <c r="I15" s="241">
        <f>+'P03 2025'!Z3+'P03 2025'!Z4</f>
        <v>76763405</v>
      </c>
      <c r="J15" s="241">
        <f ca="1">SUMIF(S$6:$AF6,"ok",S15:AE15)</f>
        <v>0</v>
      </c>
      <c r="K15" s="522">
        <f t="shared" ca="1" si="4"/>
        <v>0</v>
      </c>
      <c r="L15" s="241">
        <f>'P03 2025'!AB6+'P03 2025'!AB5</f>
        <v>0</v>
      </c>
      <c r="M15" s="522">
        <f t="shared" si="2"/>
        <v>0</v>
      </c>
      <c r="N15" s="381">
        <f t="shared" si="3"/>
        <v>76763405</v>
      </c>
      <c r="O15" s="693">
        <f t="shared" si="1"/>
        <v>1</v>
      </c>
      <c r="P15" s="1035">
        <f>+'P03 2024'!AA4++'P03 2024'!AA3</f>
        <v>78731697.541999996</v>
      </c>
      <c r="Q15" s="700">
        <f>SUMIF($S$6:$AF$6,"si",S15:AF15)</f>
        <v>9490298.1364079993</v>
      </c>
      <c r="R15" s="521">
        <f t="shared" si="0"/>
        <v>0.12053973726840236</v>
      </c>
      <c r="S15" s="343">
        <v>0</v>
      </c>
      <c r="T15" s="343">
        <v>0</v>
      </c>
      <c r="U15" s="1038">
        <v>0</v>
      </c>
      <c r="V15" s="1038">
        <f>+'P03 2024'!R3</f>
        <v>9490298.1364079993</v>
      </c>
      <c r="W15" s="1142">
        <f>+'P03 2024'!AK3+'P03 2024'!AK4</f>
        <v>34859323.236000001</v>
      </c>
      <c r="X15" s="667">
        <f>+'P03 2024'!BD3</f>
        <v>9694536.2100000009</v>
      </c>
      <c r="Y15" s="667">
        <f>+'P03 2024'!BW3</f>
        <v>1530887.554</v>
      </c>
      <c r="Z15" s="384">
        <f>+'P03 2024'!CP3</f>
        <v>20365723.568</v>
      </c>
      <c r="AA15" s="630">
        <v>0</v>
      </c>
      <c r="AB15" s="345">
        <v>0</v>
      </c>
      <c r="AC15" s="631">
        <v>0</v>
      </c>
      <c r="AD15" s="631">
        <v>0</v>
      </c>
      <c r="AE15" s="631">
        <f>+'P03 2024'!GI3</f>
        <v>54664.902000000002</v>
      </c>
      <c r="AF15" s="630">
        <v>0</v>
      </c>
      <c r="AG15" s="341"/>
      <c r="AH15" s="1030"/>
      <c r="AI15" s="1030"/>
      <c r="AJ15" s="1030"/>
      <c r="AK15" s="1030"/>
      <c r="AL15" s="1030"/>
      <c r="AM15" s="1030"/>
      <c r="AN15" s="1030"/>
      <c r="AO15" s="1030"/>
    </row>
    <row r="16" spans="2:44" s="339" customFormat="1" ht="15" customHeight="1" x14ac:dyDescent="0.25">
      <c r="B16" s="692" t="s">
        <v>2</v>
      </c>
      <c r="C16" s="353"/>
      <c r="D16" s="354">
        <v>406</v>
      </c>
      <c r="E16" s="404"/>
      <c r="F16" s="197" t="s">
        <v>253</v>
      </c>
      <c r="G16" s="648" t="s">
        <v>944</v>
      </c>
      <c r="H16" s="241">
        <f>SUM(H17:H22)</f>
        <v>3804713</v>
      </c>
      <c r="I16" s="241">
        <f>SUM(I17:I22)</f>
        <v>3804713</v>
      </c>
      <c r="J16" s="241">
        <f ca="1">SUMIF(S$6:$AF7,"ok",S16:AE16)</f>
        <v>38679.495000000003</v>
      </c>
      <c r="K16" s="522">
        <f t="shared" ca="1" si="4"/>
        <v>1.0166205703294835E-2</v>
      </c>
      <c r="L16" s="241">
        <f>SUM(L17:L22)</f>
        <v>224795.04300000001</v>
      </c>
      <c r="M16" s="522">
        <f t="shared" si="2"/>
        <v>5.9083311408771176E-2</v>
      </c>
      <c r="N16" s="381">
        <f t="shared" si="3"/>
        <v>3579917.9569999999</v>
      </c>
      <c r="O16" s="693">
        <f t="shared" si="1"/>
        <v>0.94091668859122879</v>
      </c>
      <c r="P16" s="700">
        <f>SUM(P17:P22)</f>
        <v>3953267.7659999998</v>
      </c>
      <c r="Q16" s="866">
        <f>+SUM(Q17:Q22)</f>
        <v>145580.56567000001</v>
      </c>
      <c r="R16" s="521">
        <f t="shared" si="0"/>
        <v>3.6825374421146667E-2</v>
      </c>
      <c r="S16" s="343">
        <f>SUM(S17:S22)</f>
        <v>17447.985000000001</v>
      </c>
      <c r="T16" s="343">
        <f t="shared" ref="T16:W16" si="5">SUM(T17:T22)</f>
        <v>123037.30934400001</v>
      </c>
      <c r="U16" s="384">
        <f t="shared" si="5"/>
        <v>21231.510000000002</v>
      </c>
      <c r="V16" s="384">
        <f t="shared" si="5"/>
        <v>22543.256326000002</v>
      </c>
      <c r="W16" s="1008">
        <f t="shared" si="5"/>
        <v>43591.603000000003</v>
      </c>
      <c r="X16" s="384">
        <f>+SUM(X17:X22)</f>
        <v>101214.603</v>
      </c>
      <c r="Y16" s="384">
        <f>SUM(Y17:Y22)</f>
        <v>951866.603</v>
      </c>
      <c r="Z16" s="384">
        <f>SUM(Z17:Z22)</f>
        <v>136900.84</v>
      </c>
      <c r="AA16" s="345">
        <f t="shared" ref="AA16:AC16" si="6">+SUM(AA17:AA22)</f>
        <v>813128.14399999997</v>
      </c>
      <c r="AB16" s="630">
        <f t="shared" si="6"/>
        <v>174610.21</v>
      </c>
      <c r="AC16" s="384">
        <f t="shared" si="6"/>
        <v>139685.29699999999</v>
      </c>
      <c r="AD16" s="384">
        <f>SUM(AD17:AD18)</f>
        <v>86830.335999999996</v>
      </c>
      <c r="AE16" s="630">
        <f>SUM(AE17:AE22)</f>
        <v>62425.419000000002</v>
      </c>
      <c r="AF16" s="630">
        <f>SUM(AF17:AF22)</f>
        <v>1354215.5590000001</v>
      </c>
      <c r="AG16" s="341"/>
      <c r="AH16" s="1030"/>
      <c r="AI16" s="1030"/>
      <c r="AJ16" s="1030"/>
      <c r="AK16" s="1030"/>
      <c r="AL16" s="1030"/>
      <c r="AM16" s="1030"/>
      <c r="AN16" s="1030"/>
      <c r="AO16" s="1030"/>
    </row>
    <row r="17" spans="1:41" s="339" customFormat="1" ht="15" hidden="1" customHeight="1" x14ac:dyDescent="0.25">
      <c r="B17" s="692"/>
      <c r="C17" s="353"/>
      <c r="D17" s="354"/>
      <c r="E17" s="404">
        <v>1</v>
      </c>
      <c r="F17" s="197" t="s">
        <v>644</v>
      </c>
      <c r="G17" s="588" t="s">
        <v>269</v>
      </c>
      <c r="H17" s="241">
        <f>+'P03 2025'!H5</f>
        <v>2331908</v>
      </c>
      <c r="I17" s="241">
        <f>+'P03 2025'!Z5</f>
        <v>2331908</v>
      </c>
      <c r="J17" s="241">
        <f ca="1">SUMIF(S$6:$AF$6,"ok",S17:AE17)</f>
        <v>0</v>
      </c>
      <c r="K17" s="522">
        <f t="shared" ca="1" si="4"/>
        <v>0</v>
      </c>
      <c r="L17" s="241">
        <f>'P03 2025'!AB18</f>
        <v>0</v>
      </c>
      <c r="M17" s="522">
        <f t="shared" si="2"/>
        <v>0</v>
      </c>
      <c r="N17" s="381">
        <f t="shared" si="3"/>
        <v>2331908</v>
      </c>
      <c r="O17" s="693">
        <f t="shared" si="1"/>
        <v>1</v>
      </c>
      <c r="P17" s="700">
        <f>+'P03 2024'!AA7</f>
        <v>2753049.4440000001</v>
      </c>
      <c r="Q17" s="700">
        <f t="shared" ref="Q17:Q23" si="7">SUMIF($S$6:$AF$6,"SI",S17:AF17)</f>
        <v>9273.8000000000011</v>
      </c>
      <c r="R17" s="521">
        <f t="shared" si="0"/>
        <v>3.368555555807882E-3</v>
      </c>
      <c r="S17" s="343">
        <v>0</v>
      </c>
      <c r="T17" s="343">
        <v>0</v>
      </c>
      <c r="U17" s="343">
        <v>0</v>
      </c>
      <c r="V17" s="343">
        <f>+'P03 2024'!R4</f>
        <v>9273.8000000000011</v>
      </c>
      <c r="W17" s="1143">
        <f>+'P03 2024'!AK6</f>
        <v>30857</v>
      </c>
      <c r="X17" s="667">
        <f>+'P03 2024'!BD4</f>
        <v>84000</v>
      </c>
      <c r="Y17" s="384">
        <f>+'P03 2024'!BW4</f>
        <v>937032</v>
      </c>
      <c r="Z17" s="632">
        <f>+'P03 2024'!CP6</f>
        <v>126200</v>
      </c>
      <c r="AA17" s="630">
        <f>+'P03 2024'!DH3</f>
        <v>768372.45499999996</v>
      </c>
      <c r="AB17" s="630">
        <f>+'P03 2024'!EB4</f>
        <v>154816.29999999999</v>
      </c>
      <c r="AC17" s="630">
        <f>+'P03 2024'!EV4</f>
        <v>119335.91499999999</v>
      </c>
      <c r="AD17" s="630">
        <f>'P03 2024'!FP4</f>
        <v>70000.024999999994</v>
      </c>
      <c r="AE17" s="630">
        <f>+'P03 2024'!GI7</f>
        <v>43500</v>
      </c>
      <c r="AF17" s="630">
        <f>+'P03 2024'!HA3</f>
        <v>688120.55</v>
      </c>
      <c r="AG17" s="982"/>
      <c r="AH17" s="1030"/>
      <c r="AI17" s="1030"/>
      <c r="AJ17" s="1030"/>
      <c r="AK17" s="1030"/>
      <c r="AL17" s="1030"/>
      <c r="AM17" s="1030"/>
      <c r="AN17" s="1030"/>
      <c r="AO17" s="1030"/>
    </row>
    <row r="18" spans="1:41" s="339" customFormat="1" ht="15" hidden="1" customHeight="1" x14ac:dyDescent="0.25">
      <c r="B18" s="692"/>
      <c r="C18" s="353"/>
      <c r="D18" s="354"/>
      <c r="E18" s="404">
        <v>2</v>
      </c>
      <c r="F18" s="197" t="s">
        <v>645</v>
      </c>
      <c r="G18" s="588" t="s">
        <v>270</v>
      </c>
      <c r="H18" s="241">
        <f>+'P03 2025'!H8+'P03 2025'!H9</f>
        <v>245912</v>
      </c>
      <c r="I18" s="241">
        <f>+'P03 2025'!Z8+'P03 2025'!Z9</f>
        <v>245912</v>
      </c>
      <c r="J18" s="241">
        <f ca="1">SUMIF(S$6:$AF$6,"ok",S18:AE18)</f>
        <v>34895.968000000001</v>
      </c>
      <c r="K18" s="522">
        <f t="shared" ca="1" si="4"/>
        <v>0.14190429096587398</v>
      </c>
      <c r="L18" s="241">
        <f>+'P03 2025'!AB15+'P03 2025'!AB13</f>
        <v>209375.80800000002</v>
      </c>
      <c r="M18" s="522">
        <f t="shared" si="2"/>
        <v>0.85142574579524388</v>
      </c>
      <c r="N18" s="381">
        <f t="shared" si="3"/>
        <v>36536.191999999981</v>
      </c>
      <c r="O18" s="228">
        <f t="shared" si="1"/>
        <v>0.14857425420475609</v>
      </c>
      <c r="P18" s="702">
        <f>+'P03 2024'!AA10</f>
        <v>267389.70400000003</v>
      </c>
      <c r="Q18" s="702">
        <f t="shared" si="7"/>
        <v>26538.912651999999</v>
      </c>
      <c r="R18" s="1017">
        <f t="shared" si="0"/>
        <v>9.9251812074259954E-2</v>
      </c>
      <c r="S18" s="674">
        <f>+'P03 2025'!J13++'P03 2025'!J15</f>
        <v>17447.985000000001</v>
      </c>
      <c r="T18" s="674">
        <f>+'P03 2024'!J13</f>
        <v>13269.456326</v>
      </c>
      <c r="U18" s="674">
        <f>+'P03 2025'!Q3+'P03 2025'!Q4</f>
        <v>17447.983</v>
      </c>
      <c r="V18" s="343">
        <f>+'P03 2024'!R5</f>
        <v>13269.456326</v>
      </c>
      <c r="W18" s="1143">
        <f>+'P03 2024'!AK5</f>
        <v>12734.602999999999</v>
      </c>
      <c r="X18" s="667">
        <f>+'P03 2024'!BD5</f>
        <v>17214.602999999999</v>
      </c>
      <c r="Y18" s="384">
        <f>+'P03 2024'!BW5</f>
        <v>14834.602999999999</v>
      </c>
      <c r="Z18" s="632">
        <f>+'P03 2024'!CP4</f>
        <v>10071.550999999999</v>
      </c>
      <c r="AA18" s="630">
        <f>+'P03 2024'!DH4</f>
        <v>17077.654999999999</v>
      </c>
      <c r="AB18" s="630">
        <f>+'P03 2024'!EB5</f>
        <v>16745.018</v>
      </c>
      <c r="AC18" s="630">
        <f>+'P03 2024'!EV3</f>
        <v>20349.382000000001</v>
      </c>
      <c r="AD18" s="630">
        <f>'P03 2024'!FP3</f>
        <v>16830.311000000002</v>
      </c>
      <c r="AE18" s="630">
        <f>+'P03 2024'!GI4</f>
        <v>16830.311000000002</v>
      </c>
      <c r="AF18" s="630">
        <f>+'P03 2024'!HA7</f>
        <v>17086.321</v>
      </c>
      <c r="AG18" s="341"/>
      <c r="AH18" s="1030"/>
      <c r="AI18" s="1030"/>
      <c r="AJ18" s="1030"/>
      <c r="AK18" s="1030"/>
      <c r="AL18" s="1030"/>
      <c r="AM18" s="1030"/>
      <c r="AN18" s="1030"/>
      <c r="AO18" s="1030"/>
    </row>
    <row r="19" spans="1:41" s="339" customFormat="1" ht="15" hidden="1" customHeight="1" x14ac:dyDescent="0.25">
      <c r="B19" s="692"/>
      <c r="C19" s="353"/>
      <c r="D19" s="354"/>
      <c r="E19" s="404">
        <v>3</v>
      </c>
      <c r="F19" s="197" t="s">
        <v>646</v>
      </c>
      <c r="G19" s="588" t="s">
        <v>271</v>
      </c>
      <c r="H19" s="241">
        <f>+'P03 2025'!H11</f>
        <v>3000</v>
      </c>
      <c r="I19" s="241">
        <f>+'P03 2025'!Z11+'P03 2025'!Z12</f>
        <v>3000</v>
      </c>
      <c r="J19" s="241">
        <f ca="1">SUMIF(S$6:$AF$6,"ok",S19:AE19)</f>
        <v>0</v>
      </c>
      <c r="K19" s="522">
        <f t="shared" ca="1" si="4"/>
        <v>0</v>
      </c>
      <c r="L19" s="241">
        <v>0</v>
      </c>
      <c r="M19" s="522">
        <f t="shared" si="2"/>
        <v>0</v>
      </c>
      <c r="N19" s="381">
        <f t="shared" si="3"/>
        <v>3000</v>
      </c>
      <c r="O19" s="228">
        <f t="shared" si="1"/>
        <v>1</v>
      </c>
      <c r="P19" s="702">
        <f>+'P03 2024'!AA11</f>
        <v>5210</v>
      </c>
      <c r="Q19" s="702">
        <f t="shared" si="7"/>
        <v>0</v>
      </c>
      <c r="R19" s="1017">
        <f t="shared" si="0"/>
        <v>0</v>
      </c>
      <c r="S19" s="674">
        <v>0</v>
      </c>
      <c r="T19" s="674">
        <v>0</v>
      </c>
      <c r="U19" s="674">
        <v>0</v>
      </c>
      <c r="V19" s="343">
        <v>0</v>
      </c>
      <c r="W19" s="1143">
        <v>0</v>
      </c>
      <c r="X19" s="667">
        <v>0</v>
      </c>
      <c r="Y19" s="384">
        <v>0</v>
      </c>
      <c r="Z19" s="630">
        <f>+'P03 2024'!CP5</f>
        <v>139.28899999999999</v>
      </c>
      <c r="AA19" s="630">
        <v>0</v>
      </c>
      <c r="AB19" s="630">
        <v>0</v>
      </c>
      <c r="AC19" s="630">
        <v>0</v>
      </c>
      <c r="AD19" s="630">
        <v>0</v>
      </c>
      <c r="AE19" s="630">
        <f>+'P03 2024'!GI5</f>
        <v>198.48599999999999</v>
      </c>
      <c r="AF19" s="630">
        <v>0</v>
      </c>
      <c r="AG19" s="341"/>
      <c r="AH19" s="1030"/>
      <c r="AI19" s="1030"/>
      <c r="AJ19" s="1030"/>
      <c r="AK19" s="1030"/>
      <c r="AL19" s="1030"/>
      <c r="AM19" s="1030"/>
      <c r="AN19" s="1030"/>
      <c r="AO19" s="1030"/>
    </row>
    <row r="20" spans="1:41" s="339" customFormat="1" ht="15" hidden="1" customHeight="1" x14ac:dyDescent="0.25">
      <c r="B20" s="692"/>
      <c r="C20" s="353"/>
      <c r="D20" s="354"/>
      <c r="E20" s="404">
        <v>4</v>
      </c>
      <c r="F20" s="197" t="s">
        <v>647</v>
      </c>
      <c r="G20" s="588" t="s">
        <v>272</v>
      </c>
      <c r="H20" s="241">
        <f>+'P03 2025'!H10</f>
        <v>12000</v>
      </c>
      <c r="I20" s="241">
        <f>+'P03 2025'!Z10</f>
        <v>12000</v>
      </c>
      <c r="J20" s="241">
        <f ca="1">SUMIF(S$6:$AF$6,"ok",S20:AE20)</f>
        <v>560.07399999999996</v>
      </c>
      <c r="K20" s="522">
        <f t="shared" ca="1" si="4"/>
        <v>4.667283333333333E-2</v>
      </c>
      <c r="L20" s="241">
        <f>'P03 2025'!AB17</f>
        <v>560.07399999999996</v>
      </c>
      <c r="M20" s="522">
        <f t="shared" si="2"/>
        <v>4.667283333333333E-2</v>
      </c>
      <c r="N20" s="381">
        <f t="shared" si="3"/>
        <v>11439.925999999999</v>
      </c>
      <c r="O20" s="228">
        <f t="shared" si="1"/>
        <v>0.95332716666666661</v>
      </c>
      <c r="P20" s="702">
        <f>+'P03 2024'!AA12</f>
        <v>3126</v>
      </c>
      <c r="Q20" s="702">
        <f t="shared" si="7"/>
        <v>0</v>
      </c>
      <c r="R20" s="1017">
        <f t="shared" si="0"/>
        <v>0</v>
      </c>
      <c r="S20" s="674">
        <v>0</v>
      </c>
      <c r="T20" s="674">
        <v>0</v>
      </c>
      <c r="U20" s="674">
        <f>+'P03 2025'!Q5</f>
        <v>560.07399999999996</v>
      </c>
      <c r="V20" s="343">
        <v>0</v>
      </c>
      <c r="W20" s="1143">
        <v>0</v>
      </c>
      <c r="X20" s="667">
        <v>0</v>
      </c>
      <c r="Y20" s="384">
        <v>0</v>
      </c>
      <c r="Z20" s="630">
        <f>+'P03 2024'!CP7</f>
        <v>490</v>
      </c>
      <c r="AA20" s="630">
        <v>0</v>
      </c>
      <c r="AB20" s="630">
        <v>0</v>
      </c>
      <c r="AC20" s="630">
        <v>0</v>
      </c>
      <c r="AD20" s="630">
        <v>0</v>
      </c>
      <c r="AE20" s="630">
        <f>+'P03 2024'!GI6</f>
        <v>1896.6220000000001</v>
      </c>
      <c r="AF20" s="630">
        <f>+'P03 2024'!HA5</f>
        <v>2560.88</v>
      </c>
      <c r="AG20" s="341"/>
      <c r="AH20" s="1030"/>
      <c r="AI20" s="1030"/>
      <c r="AJ20" s="1030"/>
      <c r="AK20" s="1030"/>
      <c r="AL20" s="1030"/>
      <c r="AM20" s="1030"/>
      <c r="AN20" s="1030"/>
      <c r="AO20" s="1030"/>
    </row>
    <row r="21" spans="1:41" s="339" customFormat="1" ht="15" hidden="1" customHeight="1" x14ac:dyDescent="0.25">
      <c r="B21" s="692"/>
      <c r="C21" s="353"/>
      <c r="D21" s="354"/>
      <c r="E21" s="404">
        <v>5</v>
      </c>
      <c r="F21" s="197" t="s">
        <v>648</v>
      </c>
      <c r="G21" s="588" t="s">
        <v>331</v>
      </c>
      <c r="H21" s="241">
        <f>+'P03 2025'!H7</f>
        <v>600000</v>
      </c>
      <c r="I21" s="241">
        <f>+'P03 2025'!Z7</f>
        <v>600000</v>
      </c>
      <c r="J21" s="241">
        <f ca="1">SUMIF(S$6:$AF$6,"ok",S21:AE21)</f>
        <v>3223.453</v>
      </c>
      <c r="K21" s="522">
        <f t="shared" ca="1" si="4"/>
        <v>5.3724216666666668E-3</v>
      </c>
      <c r="L21" s="241">
        <f>'P03 2025'!AB14</f>
        <v>14859.161</v>
      </c>
      <c r="M21" s="522">
        <f t="shared" si="2"/>
        <v>2.4765268333333333E-2</v>
      </c>
      <c r="N21" s="381">
        <f t="shared" ref="N21:N22" si="8">+I21-L21</f>
        <v>585140.83900000004</v>
      </c>
      <c r="O21" s="228">
        <f t="shared" si="1"/>
        <v>0.97523473166666674</v>
      </c>
      <c r="P21" s="702">
        <f>+'P03 2024'!AA9</f>
        <v>312600</v>
      </c>
      <c r="Q21" s="702">
        <f t="shared" si="7"/>
        <v>58681.272000000004</v>
      </c>
      <c r="R21" s="1017">
        <f t="shared" si="0"/>
        <v>0.18772000000000003</v>
      </c>
      <c r="S21" s="674">
        <v>0</v>
      </c>
      <c r="T21" s="674">
        <f>+'P03 2024'!J11</f>
        <v>58681.272000000004</v>
      </c>
      <c r="U21" s="674">
        <f>+'P03 2025'!Q6</f>
        <v>3223.453</v>
      </c>
      <c r="V21" s="343">
        <v>0</v>
      </c>
      <c r="W21" s="1143">
        <v>0</v>
      </c>
      <c r="X21" s="667">
        <v>0</v>
      </c>
      <c r="Y21" s="384">
        <v>0</v>
      </c>
      <c r="Z21" s="630">
        <v>0</v>
      </c>
      <c r="AA21" s="630">
        <f>+'P03 2024'!DH5</f>
        <v>27678.034</v>
      </c>
      <c r="AB21" s="630">
        <f>+'P03 2024'!EB3</f>
        <v>3048.8919999999998</v>
      </c>
      <c r="AC21" s="630">
        <v>0</v>
      </c>
      <c r="AD21" s="630">
        <v>0</v>
      </c>
      <c r="AE21" s="630">
        <v>0</v>
      </c>
      <c r="AF21" s="630">
        <f>+'P03 2024'!HA6</f>
        <v>110302.648</v>
      </c>
      <c r="AG21" s="341"/>
      <c r="AH21" s="1030"/>
      <c r="AI21" s="1030"/>
      <c r="AJ21" s="1030"/>
      <c r="AK21" s="1030"/>
      <c r="AL21" s="1030"/>
      <c r="AM21" s="1030"/>
      <c r="AN21" s="1030"/>
      <c r="AO21" s="1030"/>
    </row>
    <row r="22" spans="1:41" s="339" customFormat="1" ht="15" hidden="1" customHeight="1" x14ac:dyDescent="0.25">
      <c r="B22" s="692"/>
      <c r="C22" s="353"/>
      <c r="D22" s="354"/>
      <c r="E22" s="404">
        <v>6</v>
      </c>
      <c r="F22" s="197" t="s">
        <v>649</v>
      </c>
      <c r="G22" s="588" t="s">
        <v>332</v>
      </c>
      <c r="H22" s="241">
        <f>+'P03 2025'!H6</f>
        <v>611893</v>
      </c>
      <c r="I22" s="241">
        <f>+'P03 2025'!Z6</f>
        <v>611893</v>
      </c>
      <c r="J22" s="241">
        <f ca="1">SUMIF(S$6:$AF$6,"ok",S22:AE22)</f>
        <v>0</v>
      </c>
      <c r="K22" s="522">
        <f ca="1">IFERROR(J22/I22,"0,00%")</f>
        <v>0</v>
      </c>
      <c r="L22" s="241">
        <v>0</v>
      </c>
      <c r="M22" s="522">
        <f t="shared" si="2"/>
        <v>0</v>
      </c>
      <c r="N22" s="381">
        <f t="shared" si="8"/>
        <v>611893</v>
      </c>
      <c r="O22" s="228">
        <f t="shared" si="1"/>
        <v>1</v>
      </c>
      <c r="P22" s="702">
        <f>+'P03 2024'!AA8</f>
        <v>611892.61800000002</v>
      </c>
      <c r="Q22" s="702">
        <f t="shared" si="7"/>
        <v>51086.581017999997</v>
      </c>
      <c r="R22" s="1017">
        <f t="shared" si="0"/>
        <v>8.3489454710172689E-2</v>
      </c>
      <c r="S22" s="674">
        <v>0</v>
      </c>
      <c r="T22" s="674">
        <f>+'P03 2024'!J12</f>
        <v>51086.581017999997</v>
      </c>
      <c r="U22" s="674">
        <v>0</v>
      </c>
      <c r="V22" s="343">
        <v>0</v>
      </c>
      <c r="W22" s="1143">
        <v>0</v>
      </c>
      <c r="X22" s="667">
        <v>0</v>
      </c>
      <c r="Y22" s="384">
        <v>0</v>
      </c>
      <c r="Z22" s="630">
        <v>0</v>
      </c>
      <c r="AA22" s="630">
        <v>0</v>
      </c>
      <c r="AB22" s="630">
        <v>0</v>
      </c>
      <c r="AC22" s="630">
        <v>0</v>
      </c>
      <c r="AD22" s="630">
        <v>0</v>
      </c>
      <c r="AE22" s="630">
        <v>0</v>
      </c>
      <c r="AF22" s="630">
        <f>+'P03 2024'!HA4</f>
        <v>536145.16</v>
      </c>
      <c r="AG22" s="341"/>
      <c r="AH22" s="1030"/>
      <c r="AI22" s="1030"/>
      <c r="AJ22" s="1030"/>
      <c r="AK22" s="1030"/>
      <c r="AL22" s="1030"/>
      <c r="AM22" s="1030"/>
      <c r="AN22" s="1030"/>
      <c r="AO22" s="1030"/>
    </row>
    <row r="23" spans="1:41" s="339" customFormat="1" ht="15" customHeight="1" x14ac:dyDescent="0.25">
      <c r="B23" s="692"/>
      <c r="C23" s="353"/>
      <c r="D23" s="354">
        <v>407</v>
      </c>
      <c r="E23" s="404"/>
      <c r="F23" s="197" t="s">
        <v>902</v>
      </c>
      <c r="G23" s="588" t="s">
        <v>928</v>
      </c>
      <c r="H23" s="241">
        <v>0</v>
      </c>
      <c r="I23" s="241">
        <v>0</v>
      </c>
      <c r="J23" s="241">
        <f ca="1">SUMIF(S$6:$AF$6,"ok",S23:AE23)</f>
        <v>0</v>
      </c>
      <c r="K23" s="522" t="str">
        <f ca="1">IFERROR(J23/I23,"0,00%")</f>
        <v>0,00%</v>
      </c>
      <c r="L23" s="241">
        <v>0</v>
      </c>
      <c r="M23" s="522">
        <f t="shared" si="2"/>
        <v>0</v>
      </c>
      <c r="N23" s="381">
        <f t="shared" ref="N23:N27" si="9">+I23-L23</f>
        <v>0</v>
      </c>
      <c r="O23" s="693">
        <f t="shared" si="1"/>
        <v>0</v>
      </c>
      <c r="P23" s="700">
        <f>+'P03 2024'!AA18</f>
        <v>483694.31599999999</v>
      </c>
      <c r="Q23" s="700">
        <f t="shared" si="7"/>
        <v>0</v>
      </c>
      <c r="R23" s="521">
        <f t="shared" ref="R23:R61" si="10">IFERROR(Q23/P23,"0.00%")</f>
        <v>0</v>
      </c>
      <c r="S23" s="343">
        <v>0</v>
      </c>
      <c r="T23" s="343">
        <v>0</v>
      </c>
      <c r="U23" s="343">
        <v>0</v>
      </c>
      <c r="V23" s="343">
        <v>0</v>
      </c>
      <c r="W23" s="1143">
        <v>0</v>
      </c>
      <c r="X23" s="667">
        <v>0</v>
      </c>
      <c r="Y23" s="384">
        <f>+'P03 2024'!BW6</f>
        <v>31380</v>
      </c>
      <c r="Z23" s="630">
        <f>+'P03 2024'!CP8</f>
        <v>17290</v>
      </c>
      <c r="AA23" s="630">
        <f>+'P03 2024'!DH6</f>
        <v>63823.334000000003</v>
      </c>
      <c r="AB23" s="630">
        <f>+'P03 2024'!EB6</f>
        <v>38014</v>
      </c>
      <c r="AC23" s="630">
        <v>0</v>
      </c>
      <c r="AD23" s="630">
        <f>'P03 2024'!FP5</f>
        <v>76854.497000000003</v>
      </c>
      <c r="AE23" s="630">
        <f>+'P03 2024'!GI8</f>
        <v>41778.750999999997</v>
      </c>
      <c r="AF23" s="630">
        <f>+'P03 2024'!HA8</f>
        <v>38000</v>
      </c>
      <c r="AG23" s="341"/>
      <c r="AH23" s="1030"/>
      <c r="AI23" s="1030"/>
      <c r="AJ23" s="1030"/>
      <c r="AK23" s="1030"/>
      <c r="AL23" s="1030"/>
      <c r="AM23" s="1030"/>
      <c r="AN23" s="1030"/>
      <c r="AO23" s="1030"/>
    </row>
    <row r="24" spans="1:41" s="97" customFormat="1" ht="15" customHeight="1" x14ac:dyDescent="0.25">
      <c r="B24" s="1018"/>
      <c r="C24" s="49">
        <v>9</v>
      </c>
      <c r="D24" s="878"/>
      <c r="E24" s="879"/>
      <c r="F24" s="118"/>
      <c r="G24" s="663" t="s">
        <v>1018</v>
      </c>
      <c r="H24" s="109">
        <f>+H25</f>
        <v>471602</v>
      </c>
      <c r="I24" s="109">
        <f>+I25</f>
        <v>471602</v>
      </c>
      <c r="J24" s="109">
        <f ca="1">SUMIF(S$6:$AF$6,"ok",S24:AE24)</f>
        <v>72000</v>
      </c>
      <c r="K24" s="410">
        <f t="shared" ca="1" si="4"/>
        <v>0.15267110826502009</v>
      </c>
      <c r="L24" s="109">
        <f>+L25</f>
        <v>238000</v>
      </c>
      <c r="M24" s="410">
        <f>+IFERROR(L24/I24,0)</f>
        <v>0.50466283009826085</v>
      </c>
      <c r="N24" s="72">
        <f>+N25</f>
        <v>233602</v>
      </c>
      <c r="O24" s="691">
        <f t="shared" si="1"/>
        <v>0.4953371699017392</v>
      </c>
      <c r="P24" s="701">
        <f>+P25</f>
        <v>0</v>
      </c>
      <c r="Q24" s="701">
        <f>+Q25</f>
        <v>0</v>
      </c>
      <c r="R24" s="520" t="str">
        <f t="shared" si="10"/>
        <v>0.00%</v>
      </c>
      <c r="S24" s="1013">
        <f>+S25</f>
        <v>36000</v>
      </c>
      <c r="T24" s="1013">
        <v>0</v>
      </c>
      <c r="U24" s="1013">
        <f>+U25</f>
        <v>36000</v>
      </c>
      <c r="V24" s="1013">
        <v>0</v>
      </c>
      <c r="W24" s="1144">
        <v>0</v>
      </c>
      <c r="X24" s="1014">
        <v>0</v>
      </c>
      <c r="Y24" s="1014">
        <v>0</v>
      </c>
      <c r="Z24" s="1014">
        <v>0</v>
      </c>
      <c r="AA24" s="1014">
        <v>0</v>
      </c>
      <c r="AB24" s="1014">
        <v>0</v>
      </c>
      <c r="AC24" s="1014">
        <v>0</v>
      </c>
      <c r="AD24" s="1014">
        <v>0</v>
      </c>
      <c r="AE24" s="1014">
        <v>0</v>
      </c>
      <c r="AF24" s="1014">
        <v>0</v>
      </c>
      <c r="AG24" s="120"/>
      <c r="AH24" s="1030"/>
      <c r="AI24" s="1030"/>
      <c r="AJ24" s="1030"/>
      <c r="AK24" s="1030"/>
      <c r="AL24" s="1030"/>
      <c r="AM24" s="1030"/>
      <c r="AN24" s="1030"/>
      <c r="AO24" s="1030"/>
    </row>
    <row r="25" spans="1:41" s="97" customFormat="1" ht="15" customHeight="1" x14ac:dyDescent="0.25">
      <c r="B25" s="964"/>
      <c r="C25" s="51"/>
      <c r="D25" s="209">
        <v>407</v>
      </c>
      <c r="E25" s="708"/>
      <c r="F25" s="132"/>
      <c r="G25" s="695" t="s">
        <v>928</v>
      </c>
      <c r="H25" s="115">
        <f>+'P03 2025'!H17</f>
        <v>471602</v>
      </c>
      <c r="I25" s="115">
        <f>+I26+I27</f>
        <v>471602</v>
      </c>
      <c r="J25" s="241">
        <f ca="1">SUMIF(S$6:$AF$6,"ok",S25:AE25)</f>
        <v>72000</v>
      </c>
      <c r="K25" s="524">
        <f ca="1">IFERROR(J25/I25,"0,00%")</f>
        <v>0.15267110826502009</v>
      </c>
      <c r="L25" s="115">
        <f>+L26+L27</f>
        <v>238000</v>
      </c>
      <c r="M25" s="524">
        <f>+IFERROR(L25/I25,0)</f>
        <v>0.50466283009826085</v>
      </c>
      <c r="N25" s="71">
        <f>+I25-L25</f>
        <v>233602</v>
      </c>
      <c r="O25" s="228">
        <f t="shared" si="1"/>
        <v>0.4953371699017392</v>
      </c>
      <c r="P25" s="702">
        <v>0</v>
      </c>
      <c r="Q25" s="702">
        <v>0</v>
      </c>
      <c r="R25" s="1017" t="str">
        <f t="shared" si="10"/>
        <v>0.00%</v>
      </c>
      <c r="S25" s="674">
        <f>+S26+S27</f>
        <v>36000</v>
      </c>
      <c r="T25" s="674">
        <v>0</v>
      </c>
      <c r="U25" s="674">
        <f>+U26+U27</f>
        <v>36000</v>
      </c>
      <c r="V25" s="674">
        <v>0</v>
      </c>
      <c r="W25" s="1145">
        <v>0</v>
      </c>
      <c r="X25" s="675">
        <v>0</v>
      </c>
      <c r="Y25" s="675">
        <v>0</v>
      </c>
      <c r="Z25" s="675">
        <v>0</v>
      </c>
      <c r="AA25" s="675">
        <v>0</v>
      </c>
      <c r="AB25" s="675">
        <v>0</v>
      </c>
      <c r="AC25" s="675">
        <v>0</v>
      </c>
      <c r="AD25" s="675">
        <v>0</v>
      </c>
      <c r="AE25" s="675">
        <v>0</v>
      </c>
      <c r="AF25" s="675">
        <v>0</v>
      </c>
      <c r="AG25" s="120"/>
      <c r="AH25" s="1030"/>
      <c r="AI25" s="1030"/>
      <c r="AJ25" s="1030"/>
      <c r="AK25" s="1030"/>
      <c r="AL25" s="1030"/>
      <c r="AM25" s="1030"/>
      <c r="AN25" s="1030"/>
      <c r="AO25" s="1030"/>
    </row>
    <row r="26" spans="1:41" s="97" customFormat="1" ht="15" hidden="1" customHeight="1" x14ac:dyDescent="0.25">
      <c r="B26" s="964"/>
      <c r="C26" s="51"/>
      <c r="D26" s="209"/>
      <c r="E26" s="708"/>
      <c r="F26" s="132"/>
      <c r="G26" s="695" t="s">
        <v>1042</v>
      </c>
      <c r="H26" s="115">
        <v>0</v>
      </c>
      <c r="I26" s="115">
        <f>+'P03 2025'!Z19</f>
        <v>468000</v>
      </c>
      <c r="J26" s="241">
        <f ca="1">SUMIF(S$6:$AF$6,"ok",S26:AE26)</f>
        <v>72000</v>
      </c>
      <c r="K26" s="524">
        <f t="shared" ref="K26:K27" ca="1" si="11">IFERROR(J26/I26,"0,00%")</f>
        <v>0.15384615384615385</v>
      </c>
      <c r="L26" s="115">
        <f>+'P03 2025'!AB23</f>
        <v>238000</v>
      </c>
      <c r="M26" s="524">
        <f t="shared" ref="M26:M27" si="12">+IFERROR(L26/I26,0)</f>
        <v>0.50854700854700852</v>
      </c>
      <c r="N26" s="71">
        <f>+I26-L26</f>
        <v>230000</v>
      </c>
      <c r="O26" s="228">
        <f t="shared" si="1"/>
        <v>0.49145299145299143</v>
      </c>
      <c r="P26" s="702">
        <v>0</v>
      </c>
      <c r="Q26" s="702">
        <v>0</v>
      </c>
      <c r="R26" s="1017" t="str">
        <f t="shared" si="10"/>
        <v>0.00%</v>
      </c>
      <c r="S26" s="674">
        <f>+'P03 2025'!J20</f>
        <v>36000</v>
      </c>
      <c r="T26" s="674">
        <v>0</v>
      </c>
      <c r="U26" s="674">
        <f>+'P03 2025'!J20</f>
        <v>36000</v>
      </c>
      <c r="V26" s="674">
        <v>0</v>
      </c>
      <c r="W26" s="1145">
        <v>0</v>
      </c>
      <c r="X26" s="675">
        <v>0</v>
      </c>
      <c r="Y26" s="675">
        <v>0</v>
      </c>
      <c r="Z26" s="675">
        <v>0</v>
      </c>
      <c r="AA26" s="675">
        <v>0</v>
      </c>
      <c r="AB26" s="675">
        <v>0</v>
      </c>
      <c r="AC26" s="675">
        <v>0</v>
      </c>
      <c r="AD26" s="675">
        <v>0</v>
      </c>
      <c r="AE26" s="675">
        <v>0</v>
      </c>
      <c r="AF26" s="675">
        <v>0</v>
      </c>
      <c r="AG26" s="120"/>
      <c r="AH26" s="1030"/>
      <c r="AI26" s="1030"/>
      <c r="AJ26" s="1030"/>
      <c r="AK26" s="1030"/>
      <c r="AL26" s="1030"/>
      <c r="AM26" s="1030"/>
      <c r="AN26" s="1030"/>
      <c r="AO26" s="1030"/>
    </row>
    <row r="27" spans="1:41" s="97" customFormat="1" ht="15" hidden="1" customHeight="1" x14ac:dyDescent="0.25">
      <c r="B27" s="964"/>
      <c r="C27" s="51"/>
      <c r="D27" s="209"/>
      <c r="E27" s="708"/>
      <c r="F27" s="132"/>
      <c r="G27" s="695" t="s">
        <v>1071</v>
      </c>
      <c r="H27" s="115">
        <v>0</v>
      </c>
      <c r="I27" s="115">
        <f>+'P03 2025'!Z20</f>
        <v>3602</v>
      </c>
      <c r="J27" s="241">
        <f ca="1">SUMIF(S$6:$AF$6,"ok",S27:AE27)</f>
        <v>0</v>
      </c>
      <c r="K27" s="524">
        <f t="shared" ca="1" si="11"/>
        <v>0</v>
      </c>
      <c r="L27" s="115">
        <v>0</v>
      </c>
      <c r="M27" s="524">
        <f t="shared" si="12"/>
        <v>0</v>
      </c>
      <c r="N27" s="71">
        <f t="shared" si="9"/>
        <v>3602</v>
      </c>
      <c r="O27" s="228">
        <f t="shared" si="1"/>
        <v>1</v>
      </c>
      <c r="P27" s="702">
        <v>0</v>
      </c>
      <c r="Q27" s="702">
        <v>0</v>
      </c>
      <c r="R27" s="1017" t="str">
        <f t="shared" si="10"/>
        <v>0.00%</v>
      </c>
      <c r="S27" s="674">
        <v>0</v>
      </c>
      <c r="T27" s="674">
        <v>0</v>
      </c>
      <c r="U27" s="674"/>
      <c r="V27" s="674">
        <v>0</v>
      </c>
      <c r="W27" s="1145">
        <v>0</v>
      </c>
      <c r="X27" s="675">
        <v>0</v>
      </c>
      <c r="Y27" s="675">
        <v>0</v>
      </c>
      <c r="Z27" s="675">
        <v>0</v>
      </c>
      <c r="AA27" s="675">
        <v>0</v>
      </c>
      <c r="AB27" s="675">
        <v>0</v>
      </c>
      <c r="AC27" s="675">
        <v>0</v>
      </c>
      <c r="AD27" s="675">
        <v>0</v>
      </c>
      <c r="AE27" s="675">
        <v>0</v>
      </c>
      <c r="AF27" s="675">
        <v>0</v>
      </c>
      <c r="AG27" s="120"/>
      <c r="AH27" s="1030"/>
      <c r="AI27" s="1030"/>
      <c r="AJ27" s="1030"/>
      <c r="AK27" s="1030"/>
      <c r="AL27" s="1030"/>
      <c r="AM27" s="1030"/>
      <c r="AN27" s="1030"/>
      <c r="AO27" s="1030"/>
    </row>
    <row r="28" spans="1:41" s="97" customFormat="1" ht="15" customHeight="1" x14ac:dyDescent="0.25">
      <c r="B28" s="965">
        <v>25</v>
      </c>
      <c r="C28" s="49" t="s">
        <v>2</v>
      </c>
      <c r="D28" s="47"/>
      <c r="E28" s="117"/>
      <c r="F28" s="118"/>
      <c r="G28" s="618" t="s">
        <v>1004</v>
      </c>
      <c r="H28" s="109">
        <f>+H29</f>
        <v>9.9960000000000004</v>
      </c>
      <c r="I28" s="109">
        <f>+I29</f>
        <v>9.9960000000000004</v>
      </c>
      <c r="J28" s="111">
        <f ca="1">SUMIF(S$6:$AF13,"ok",S28:AE28)</f>
        <v>0</v>
      </c>
      <c r="K28" s="410">
        <f t="shared" ca="1" si="4"/>
        <v>0</v>
      </c>
      <c r="L28" s="111">
        <f>+L29</f>
        <v>0</v>
      </c>
      <c r="M28" s="410">
        <f t="shared" si="2"/>
        <v>0</v>
      </c>
      <c r="N28" s="111">
        <f>+I28-L28</f>
        <v>9.9960000000000004</v>
      </c>
      <c r="O28" s="691">
        <f t="shared" si="1"/>
        <v>1</v>
      </c>
      <c r="P28" s="701">
        <f>+P29</f>
        <v>10.5242</v>
      </c>
      <c r="Q28" s="701">
        <f>+Q29</f>
        <v>0</v>
      </c>
      <c r="R28" s="520">
        <f t="shared" si="10"/>
        <v>0</v>
      </c>
      <c r="S28" s="196">
        <f>+S29</f>
        <v>0</v>
      </c>
      <c r="T28" s="196">
        <f>+T29</f>
        <v>0</v>
      </c>
      <c r="U28" s="110">
        <v>0</v>
      </c>
      <c r="V28" s="110">
        <v>0</v>
      </c>
      <c r="W28" s="1146">
        <v>0</v>
      </c>
      <c r="X28" s="109">
        <v>0</v>
      </c>
      <c r="Y28" s="208">
        <f>+Y29</f>
        <v>0</v>
      </c>
      <c r="Z28" s="208">
        <v>0</v>
      </c>
      <c r="AA28" s="665">
        <f>+AA29</f>
        <v>0</v>
      </c>
      <c r="AB28" s="665">
        <v>0</v>
      </c>
      <c r="AC28" s="665">
        <v>0</v>
      </c>
      <c r="AD28" s="665">
        <f>SUM(AD29:AD30)</f>
        <v>0</v>
      </c>
      <c r="AE28" s="665">
        <f>+AE29</f>
        <v>5814755.9890000001</v>
      </c>
      <c r="AF28" s="665">
        <f>+AF29</f>
        <v>565224.28500000003</v>
      </c>
      <c r="AH28" s="1030"/>
      <c r="AI28" s="1030"/>
      <c r="AJ28" s="1030"/>
      <c r="AK28" s="1030"/>
      <c r="AL28" s="1030"/>
      <c r="AM28" s="1030"/>
      <c r="AN28" s="1030"/>
      <c r="AO28" s="1030"/>
    </row>
    <row r="29" spans="1:41" s="339" customFormat="1" ht="15" hidden="1" customHeight="1" x14ac:dyDescent="0.2">
      <c r="B29" s="692"/>
      <c r="C29" s="353">
        <v>99</v>
      </c>
      <c r="D29" s="354"/>
      <c r="E29" s="404"/>
      <c r="F29" s="197" t="s">
        <v>650</v>
      </c>
      <c r="G29" s="648" t="s">
        <v>513</v>
      </c>
      <c r="H29" s="241">
        <f>+H30</f>
        <v>9.9960000000000004</v>
      </c>
      <c r="I29" s="381">
        <f>+I30</f>
        <v>9.9960000000000004</v>
      </c>
      <c r="J29" s="241">
        <f ca="1">SUMIF(S$6:$AF14,"ok",S29:AE29)</f>
        <v>0</v>
      </c>
      <c r="K29" s="522">
        <f t="shared" ca="1" si="4"/>
        <v>0</v>
      </c>
      <c r="L29" s="382">
        <f>+L30</f>
        <v>0</v>
      </c>
      <c r="M29" s="522">
        <f t="shared" si="2"/>
        <v>0</v>
      </c>
      <c r="N29" s="381">
        <f>+I29-L29</f>
        <v>9.9960000000000004</v>
      </c>
      <c r="O29" s="693">
        <f t="shared" si="1"/>
        <v>1</v>
      </c>
      <c r="P29" s="700">
        <f>+P30</f>
        <v>10.5242</v>
      </c>
      <c r="Q29" s="700">
        <f>SUMIF($S$6:$AF$6,"SI",S29:AF29)</f>
        <v>0</v>
      </c>
      <c r="R29" s="521">
        <f t="shared" si="10"/>
        <v>0</v>
      </c>
      <c r="S29" s="674">
        <v>0</v>
      </c>
      <c r="T29" s="343">
        <v>0</v>
      </c>
      <c r="U29" s="343">
        <f>+U30</f>
        <v>0</v>
      </c>
      <c r="V29" s="343">
        <v>0</v>
      </c>
      <c r="W29" s="1143">
        <v>0</v>
      </c>
      <c r="X29" s="667">
        <v>0</v>
      </c>
      <c r="Y29" s="630">
        <v>0</v>
      </c>
      <c r="Z29" s="630">
        <v>0</v>
      </c>
      <c r="AA29" s="630">
        <v>0</v>
      </c>
      <c r="AB29" s="630">
        <v>0</v>
      </c>
      <c r="AC29" s="630">
        <v>0</v>
      </c>
      <c r="AD29" s="630">
        <v>0</v>
      </c>
      <c r="AE29" s="630">
        <f>+'P03 2024'!GI9</f>
        <v>5814755.9890000001</v>
      </c>
      <c r="AF29" s="630">
        <f>+'P03 2024'!HA9</f>
        <v>565224.28500000003</v>
      </c>
      <c r="AG29" s="405"/>
      <c r="AH29" s="1030"/>
      <c r="AI29" s="1030"/>
      <c r="AJ29" s="1030"/>
      <c r="AK29" s="1030"/>
      <c r="AL29" s="1030"/>
      <c r="AM29" s="1030"/>
      <c r="AN29" s="1030"/>
      <c r="AO29" s="1030"/>
    </row>
    <row r="30" spans="1:41" s="339" customFormat="1" ht="16.5" hidden="1" customHeight="1" x14ac:dyDescent="0.25">
      <c r="A30" s="97"/>
      <c r="B30" s="964"/>
      <c r="C30" s="51"/>
      <c r="D30" s="209"/>
      <c r="E30" s="708"/>
      <c r="F30" s="132" t="s">
        <v>862</v>
      </c>
      <c r="G30" s="730" t="s">
        <v>51</v>
      </c>
      <c r="H30" s="115">
        <f>+'P03 2025'!H25</f>
        <v>9.9960000000000004</v>
      </c>
      <c r="I30" s="71">
        <f>+'P03 2025'!Z28</f>
        <v>9.9960000000000004</v>
      </c>
      <c r="J30" s="241">
        <f ca="1">+J29</f>
        <v>0</v>
      </c>
      <c r="K30" s="522">
        <f t="shared" ca="1" si="4"/>
        <v>0</v>
      </c>
      <c r="L30" s="382">
        <f>+'P03 2025'!AB24</f>
        <v>0</v>
      </c>
      <c r="M30" s="522">
        <f t="shared" si="2"/>
        <v>0</v>
      </c>
      <c r="N30" s="381">
        <f>+I30-L30</f>
        <v>9.9960000000000004</v>
      </c>
      <c r="O30" s="693">
        <f t="shared" si="1"/>
        <v>1</v>
      </c>
      <c r="P30" s="700">
        <f>+'P03 2024'!AA19</f>
        <v>10.5242</v>
      </c>
      <c r="Q30" s="700">
        <f>SUMIF($S$6:$AF$6,"SI",S30:AF30)</f>
        <v>0</v>
      </c>
      <c r="R30" s="521">
        <f t="shared" si="10"/>
        <v>0</v>
      </c>
      <c r="S30" s="674">
        <v>0</v>
      </c>
      <c r="T30" s="343">
        <v>0</v>
      </c>
      <c r="U30" s="343">
        <v>0</v>
      </c>
      <c r="V30" s="343">
        <v>0</v>
      </c>
      <c r="W30" s="871">
        <v>0</v>
      </c>
      <c r="X30" s="621">
        <v>0</v>
      </c>
      <c r="Y30" s="621">
        <v>0</v>
      </c>
      <c r="Z30" s="621">
        <v>0</v>
      </c>
      <c r="AA30" s="621">
        <v>0</v>
      </c>
      <c r="AB30" s="621">
        <v>0</v>
      </c>
      <c r="AC30" s="621">
        <v>0</v>
      </c>
      <c r="AD30" s="621">
        <v>0</v>
      </c>
      <c r="AE30" s="621">
        <v>0</v>
      </c>
      <c r="AF30" s="621">
        <f>+'P03 2024'!HA9</f>
        <v>565224.28500000003</v>
      </c>
      <c r="AG30" s="341"/>
      <c r="AH30" s="1030"/>
      <c r="AI30" s="1030"/>
      <c r="AJ30" s="1030"/>
      <c r="AK30" s="1030"/>
      <c r="AL30" s="1030"/>
      <c r="AM30" s="1030"/>
      <c r="AN30" s="1030"/>
      <c r="AO30" s="1030"/>
    </row>
    <row r="31" spans="1:41" s="97" customFormat="1" ht="15" hidden="1" customHeight="1" x14ac:dyDescent="0.25">
      <c r="B31" s="965">
        <v>26</v>
      </c>
      <c r="C31" s="49" t="s">
        <v>2</v>
      </c>
      <c r="D31" s="47"/>
      <c r="E31" s="117"/>
      <c r="F31" s="118"/>
      <c r="G31" s="618" t="s">
        <v>282</v>
      </c>
      <c r="H31" s="109">
        <f>+H32</f>
        <v>0</v>
      </c>
      <c r="I31" s="109">
        <f>+I32</f>
        <v>0</v>
      </c>
      <c r="J31" s="111">
        <f ca="1">SUMIF(S$6:$AF14,"ok",S31:AE31)</f>
        <v>0</v>
      </c>
      <c r="K31" s="410" t="str">
        <f ca="1">IFERROR(J31/I31,"0,00%")</f>
        <v>0,00%</v>
      </c>
      <c r="L31" s="109">
        <f>++L32</f>
        <v>0</v>
      </c>
      <c r="M31" s="410">
        <f t="shared" si="2"/>
        <v>0</v>
      </c>
      <c r="N31" s="72">
        <f t="shared" ref="N31:N37" si="13">+I31-L31</f>
        <v>0</v>
      </c>
      <c r="O31" s="691">
        <f t="shared" si="1"/>
        <v>0</v>
      </c>
      <c r="P31" s="701">
        <f>+P32</f>
        <v>0</v>
      </c>
      <c r="Q31" s="701">
        <f ca="1">+Q32</f>
        <v>0</v>
      </c>
      <c r="R31" s="520" t="str">
        <f t="shared" ca="1" si="10"/>
        <v>0.00%</v>
      </c>
      <c r="S31" s="196">
        <v>0</v>
      </c>
      <c r="T31" s="196">
        <f>+T32</f>
        <v>0</v>
      </c>
      <c r="U31" s="196">
        <f>+U32</f>
        <v>0</v>
      </c>
      <c r="V31" s="110">
        <v>0</v>
      </c>
      <c r="W31" s="1146">
        <v>0</v>
      </c>
      <c r="X31" s="109">
        <v>0</v>
      </c>
      <c r="Y31" s="208">
        <v>0</v>
      </c>
      <c r="Z31" s="208">
        <v>0</v>
      </c>
      <c r="AA31" s="665">
        <v>0</v>
      </c>
      <c r="AB31" s="665">
        <v>0</v>
      </c>
      <c r="AC31" s="665">
        <v>0</v>
      </c>
      <c r="AD31" s="665">
        <f>AD32</f>
        <v>0</v>
      </c>
      <c r="AE31" s="665">
        <f>+AE32</f>
        <v>0</v>
      </c>
      <c r="AF31" s="665">
        <v>0</v>
      </c>
      <c r="AH31" s="1030"/>
      <c r="AI31" s="1030"/>
      <c r="AJ31" s="1030"/>
      <c r="AK31" s="1030"/>
      <c r="AL31" s="1030"/>
      <c r="AM31" s="1030"/>
      <c r="AN31" s="1030"/>
      <c r="AO31" s="1030"/>
    </row>
    <row r="32" spans="1:41" s="97" customFormat="1" ht="15" hidden="1" customHeight="1" x14ac:dyDescent="0.25">
      <c r="B32" s="964" t="s">
        <v>2</v>
      </c>
      <c r="C32" s="51">
        <v>1</v>
      </c>
      <c r="D32" s="209"/>
      <c r="E32" s="116"/>
      <c r="F32" s="132" t="s">
        <v>311</v>
      </c>
      <c r="G32" s="695" t="s">
        <v>283</v>
      </c>
      <c r="H32" s="115">
        <v>0</v>
      </c>
      <c r="I32" s="115">
        <v>0</v>
      </c>
      <c r="J32" s="115">
        <f ca="1">SUMIF(S$6:$AF$6,"ok",S32:AE32)</f>
        <v>0</v>
      </c>
      <c r="K32" s="524" t="str">
        <f ca="1">IFERROR(J32/I32,"0,00%")</f>
        <v>0,00%</v>
      </c>
      <c r="L32" s="71">
        <v>0</v>
      </c>
      <c r="M32" s="524">
        <f t="shared" si="2"/>
        <v>0</v>
      </c>
      <c r="N32" s="71">
        <f t="shared" si="13"/>
        <v>0</v>
      </c>
      <c r="O32" s="228">
        <f t="shared" si="1"/>
        <v>0</v>
      </c>
      <c r="P32" s="702">
        <v>0</v>
      </c>
      <c r="Q32" s="705">
        <f ca="1">SUMIF(S$6:$AF13,"SI",Y32:AF32)</f>
        <v>0</v>
      </c>
      <c r="R32" s="1017" t="str">
        <f t="shared" ca="1" si="10"/>
        <v>0.00%</v>
      </c>
      <c r="S32" s="674">
        <v>0</v>
      </c>
      <c r="T32" s="673">
        <v>0</v>
      </c>
      <c r="U32" s="673">
        <v>0</v>
      </c>
      <c r="V32" s="674">
        <v>0</v>
      </c>
      <c r="W32" s="1145">
        <v>0</v>
      </c>
      <c r="X32" s="675">
        <v>0</v>
      </c>
      <c r="Y32" s="629">
        <v>0</v>
      </c>
      <c r="Z32" s="629">
        <v>0</v>
      </c>
      <c r="AA32" s="629">
        <v>0</v>
      </c>
      <c r="AB32" s="629">
        <v>0</v>
      </c>
      <c r="AC32" s="629">
        <v>0</v>
      </c>
      <c r="AD32" s="629">
        <v>0</v>
      </c>
      <c r="AE32" s="629">
        <v>0</v>
      </c>
      <c r="AF32" s="629">
        <v>0</v>
      </c>
      <c r="AH32" s="1030"/>
      <c r="AI32" s="1030"/>
      <c r="AJ32" s="1030"/>
      <c r="AK32" s="1030"/>
      <c r="AL32" s="1030"/>
      <c r="AM32" s="1030"/>
      <c r="AN32" s="1030"/>
      <c r="AO32" s="1030"/>
    </row>
    <row r="33" spans="1:41" s="97" customFormat="1" ht="15" hidden="1" customHeight="1" x14ac:dyDescent="0.25">
      <c r="B33" s="663">
        <v>30</v>
      </c>
      <c r="C33" s="68"/>
      <c r="D33" s="317"/>
      <c r="E33" s="118"/>
      <c r="F33" s="118"/>
      <c r="G33" s="618" t="s">
        <v>612</v>
      </c>
      <c r="H33" s="110">
        <f>+H34</f>
        <v>0</v>
      </c>
      <c r="I33" s="110">
        <f>+I34</f>
        <v>0</v>
      </c>
      <c r="J33" s="111">
        <f ca="1">SUMIF(S$6:$AF15,"ok",S33:AE33)</f>
        <v>0</v>
      </c>
      <c r="K33" s="410" t="str">
        <f ca="1">IFERROR(J33/I33,"0,00%")</f>
        <v>0,00%</v>
      </c>
      <c r="L33" s="73">
        <f>+L34</f>
        <v>0</v>
      </c>
      <c r="M33" s="410">
        <f t="shared" si="2"/>
        <v>0</v>
      </c>
      <c r="N33" s="72">
        <f t="shared" si="13"/>
        <v>0</v>
      </c>
      <c r="O33" s="691">
        <f t="shared" si="1"/>
        <v>0</v>
      </c>
      <c r="P33" s="701">
        <f>+P34</f>
        <v>0</v>
      </c>
      <c r="Q33" s="701">
        <f>+Q34</f>
        <v>0</v>
      </c>
      <c r="R33" s="520" t="str">
        <f t="shared" si="10"/>
        <v>0.00%</v>
      </c>
      <c r="S33" s="196">
        <v>0</v>
      </c>
      <c r="T33" s="196">
        <f>+T34</f>
        <v>0</v>
      </c>
      <c r="U33" s="196">
        <f>+U34</f>
        <v>0</v>
      </c>
      <c r="V33" s="196">
        <v>0</v>
      </c>
      <c r="W33" s="1146">
        <v>0</v>
      </c>
      <c r="X33" s="636">
        <v>0</v>
      </c>
      <c r="Y33" s="433">
        <v>0</v>
      </c>
      <c r="Z33" s="433">
        <v>0</v>
      </c>
      <c r="AA33" s="665">
        <v>0</v>
      </c>
      <c r="AB33" s="665">
        <v>0</v>
      </c>
      <c r="AC33" s="665">
        <v>0</v>
      </c>
      <c r="AD33" s="665">
        <f>AD34</f>
        <v>0</v>
      </c>
      <c r="AE33" s="665">
        <f>+AE34</f>
        <v>0</v>
      </c>
      <c r="AF33" s="665">
        <v>0</v>
      </c>
      <c r="AH33" s="1030"/>
      <c r="AI33" s="1030"/>
      <c r="AJ33" s="1030"/>
      <c r="AK33" s="1030"/>
      <c r="AL33" s="1030"/>
      <c r="AM33" s="1030"/>
      <c r="AN33" s="1030"/>
      <c r="AO33" s="1030"/>
    </row>
    <row r="34" spans="1:41" s="97" customFormat="1" ht="15" hidden="1" customHeight="1" x14ac:dyDescent="0.25">
      <c r="B34" s="964"/>
      <c r="C34" s="51">
        <v>10</v>
      </c>
      <c r="D34" s="209"/>
      <c r="E34" s="116"/>
      <c r="F34" s="197"/>
      <c r="G34" s="695" t="s">
        <v>613</v>
      </c>
      <c r="H34" s="115">
        <v>0</v>
      </c>
      <c r="I34" s="115">
        <v>0</v>
      </c>
      <c r="J34" s="115">
        <f ca="1">SUMIF(S$6:$AF16,"ok",S34:AE34)</f>
        <v>0</v>
      </c>
      <c r="K34" s="524" t="str">
        <f ca="1">IFERROR(J34/I34,"0,00%")</f>
        <v>0,00%</v>
      </c>
      <c r="L34" s="71">
        <v>0</v>
      </c>
      <c r="M34" s="524">
        <f t="shared" si="2"/>
        <v>0</v>
      </c>
      <c r="N34" s="71">
        <f t="shared" si="13"/>
        <v>0</v>
      </c>
      <c r="O34" s="228">
        <f t="shared" si="1"/>
        <v>0</v>
      </c>
      <c r="P34" s="702">
        <v>0</v>
      </c>
      <c r="Q34" s="705">
        <v>0</v>
      </c>
      <c r="R34" s="1017" t="str">
        <f t="shared" si="10"/>
        <v>0.00%</v>
      </c>
      <c r="S34" s="674">
        <v>0</v>
      </c>
      <c r="T34" s="673">
        <v>0</v>
      </c>
      <c r="U34" s="673">
        <v>0</v>
      </c>
      <c r="V34" s="674">
        <v>0</v>
      </c>
      <c r="W34" s="1145">
        <v>0</v>
      </c>
      <c r="X34" s="675">
        <v>0</v>
      </c>
      <c r="Y34" s="629">
        <v>0</v>
      </c>
      <c r="Z34" s="629">
        <v>0</v>
      </c>
      <c r="AA34" s="629">
        <v>0</v>
      </c>
      <c r="AB34" s="629">
        <v>0</v>
      </c>
      <c r="AC34" s="629">
        <v>0</v>
      </c>
      <c r="AD34" s="629">
        <v>0</v>
      </c>
      <c r="AE34" s="629">
        <v>0</v>
      </c>
      <c r="AF34" s="629">
        <v>0</v>
      </c>
      <c r="AH34" s="1030"/>
      <c r="AI34" s="1030"/>
      <c r="AJ34" s="1030"/>
      <c r="AK34" s="1030"/>
      <c r="AL34" s="1030"/>
      <c r="AM34" s="1030"/>
      <c r="AN34" s="1030"/>
      <c r="AO34" s="1030"/>
    </row>
    <row r="35" spans="1:41" s="97" customFormat="1" ht="15" customHeight="1" x14ac:dyDescent="0.25">
      <c r="B35" s="965">
        <v>32</v>
      </c>
      <c r="C35" s="49"/>
      <c r="D35" s="47"/>
      <c r="E35" s="117"/>
      <c r="F35" s="118"/>
      <c r="G35" s="618" t="s">
        <v>144</v>
      </c>
      <c r="H35" s="109">
        <f>+H36</f>
        <v>8610052</v>
      </c>
      <c r="I35" s="109">
        <f>+I36</f>
        <v>8610052</v>
      </c>
      <c r="J35" s="111">
        <f ca="1">SUMIF(S$6:$AF17,"ok",S35:AE35)</f>
        <v>0</v>
      </c>
      <c r="K35" s="410">
        <f t="shared" ca="1" si="4"/>
        <v>0</v>
      </c>
      <c r="L35" s="72">
        <f>+L36+L37</f>
        <v>0</v>
      </c>
      <c r="M35" s="410">
        <f t="shared" si="2"/>
        <v>0</v>
      </c>
      <c r="N35" s="72">
        <f t="shared" si="13"/>
        <v>8610052</v>
      </c>
      <c r="O35" s="691">
        <f t="shared" si="1"/>
        <v>1</v>
      </c>
      <c r="P35" s="701">
        <f>+P36</f>
        <v>7888444.3280000007</v>
      </c>
      <c r="Q35" s="701">
        <f>+Q36</f>
        <v>0</v>
      </c>
      <c r="R35" s="520">
        <f t="shared" si="10"/>
        <v>0</v>
      </c>
      <c r="S35" s="196">
        <f>+S36+S37</f>
        <v>0</v>
      </c>
      <c r="T35" s="196">
        <f>+T36+T37</f>
        <v>0</v>
      </c>
      <c r="U35" s="196">
        <v>0</v>
      </c>
      <c r="V35" s="110">
        <f>+V36</f>
        <v>0</v>
      </c>
      <c r="W35" s="1146">
        <v>0</v>
      </c>
      <c r="X35" s="636">
        <v>0</v>
      </c>
      <c r="Y35" s="665">
        <f>+Y36</f>
        <v>2771721.054</v>
      </c>
      <c r="Z35" s="665">
        <v>0</v>
      </c>
      <c r="AA35" s="676">
        <f>+AA36+AA37</f>
        <v>1310978.6710000001</v>
      </c>
      <c r="AB35" s="676">
        <f>+AB36</f>
        <v>0</v>
      </c>
      <c r="AC35" s="665">
        <f>+AC36</f>
        <v>0</v>
      </c>
      <c r="AD35" s="665">
        <f>SUM(AD36:AD37)</f>
        <v>366914.522</v>
      </c>
      <c r="AE35" s="665">
        <f>+AE36</f>
        <v>0</v>
      </c>
      <c r="AF35" s="665">
        <f>+AF36</f>
        <v>1986270.51</v>
      </c>
      <c r="AH35" s="1030"/>
      <c r="AI35" s="1030"/>
      <c r="AJ35" s="1030"/>
      <c r="AK35" s="1030"/>
      <c r="AL35" s="1030"/>
      <c r="AM35" s="1030"/>
      <c r="AN35" s="1030"/>
      <c r="AO35" s="1030"/>
    </row>
    <row r="36" spans="1:41" s="339" customFormat="1" ht="15" customHeight="1" x14ac:dyDescent="0.25">
      <c r="B36" s="692" t="s">
        <v>2</v>
      </c>
      <c r="C36" s="32"/>
      <c r="D36" s="406" t="s">
        <v>908</v>
      </c>
      <c r="E36" s="355"/>
      <c r="F36" s="197" t="s">
        <v>221</v>
      </c>
      <c r="G36" s="588" t="s">
        <v>145</v>
      </c>
      <c r="H36" s="241">
        <f>+'P03 2025'!H26</f>
        <v>8610052</v>
      </c>
      <c r="I36" s="241">
        <f>+'P03 2025'!Z29</f>
        <v>8610052</v>
      </c>
      <c r="J36" s="241">
        <f ca="1">SUMIF(S$6:$AF18,"ok",S36:AE36)</f>
        <v>0</v>
      </c>
      <c r="K36" s="522">
        <f t="shared" ca="1" si="4"/>
        <v>0</v>
      </c>
      <c r="L36" s="382">
        <f>+'P03 2025'!AB26</f>
        <v>0</v>
      </c>
      <c r="M36" s="522">
        <f t="shared" si="2"/>
        <v>0</v>
      </c>
      <c r="N36" s="381">
        <f t="shared" si="13"/>
        <v>8610052</v>
      </c>
      <c r="O36" s="693">
        <f t="shared" si="1"/>
        <v>1</v>
      </c>
      <c r="P36" s="700">
        <f>+'P03 2024'!AA20</f>
        <v>7888444.3280000007</v>
      </c>
      <c r="Q36" s="700">
        <f>SUMIF($S$6:$AF$6,"SI",S36:AF36)</f>
        <v>0</v>
      </c>
      <c r="R36" s="521">
        <f t="shared" si="10"/>
        <v>0</v>
      </c>
      <c r="S36" s="343">
        <f>+S37</f>
        <v>0</v>
      </c>
      <c r="T36" s="343">
        <f>+T37</f>
        <v>0</v>
      </c>
      <c r="U36" s="343">
        <v>0</v>
      </c>
      <c r="V36" s="343">
        <v>0</v>
      </c>
      <c r="W36" s="1143">
        <v>0</v>
      </c>
      <c r="X36" s="667">
        <v>0</v>
      </c>
      <c r="Y36" s="667">
        <f>+'P03 2024'!BW7</f>
        <v>2771721.054</v>
      </c>
      <c r="Z36" s="630">
        <v>0</v>
      </c>
      <c r="AA36" s="630">
        <f>+'P03 2024'!DH7</f>
        <v>1310978.6710000001</v>
      </c>
      <c r="AB36" s="631">
        <v>0</v>
      </c>
      <c r="AC36" s="631">
        <v>0</v>
      </c>
      <c r="AD36" s="631">
        <f>'P03 2024'!FP6</f>
        <v>366914.522</v>
      </c>
      <c r="AE36" s="630">
        <f>+AE37</f>
        <v>0</v>
      </c>
      <c r="AF36" s="630">
        <f>+'P03 2024'!HA10</f>
        <v>1986270.51</v>
      </c>
      <c r="AG36" s="341"/>
      <c r="AH36" s="1030"/>
      <c r="AI36" s="1030"/>
      <c r="AJ36" s="1030"/>
      <c r="AK36" s="1030"/>
      <c r="AL36" s="1030"/>
      <c r="AM36" s="1030"/>
      <c r="AN36" s="1030"/>
      <c r="AO36" s="1030"/>
    </row>
    <row r="37" spans="1:41" s="97" customFormat="1" ht="15" hidden="1" customHeight="1" x14ac:dyDescent="0.25">
      <c r="B37" s="964"/>
      <c r="C37" s="51"/>
      <c r="D37" s="209"/>
      <c r="E37" s="116"/>
      <c r="F37" s="132" t="s">
        <v>710</v>
      </c>
      <c r="G37" s="588" t="s">
        <v>611</v>
      </c>
      <c r="H37" s="241">
        <v>0</v>
      </c>
      <c r="I37" s="241">
        <v>0</v>
      </c>
      <c r="J37" s="241">
        <f ca="1">SUMIF(S$6:$AF19,"ok",S37:AE37)</f>
        <v>0</v>
      </c>
      <c r="K37" s="522" t="str">
        <f ca="1">IFERROR(J37/I37,"0,00%")</f>
        <v>0,00%</v>
      </c>
      <c r="L37" s="383">
        <v>0</v>
      </c>
      <c r="M37" s="522">
        <f t="shared" si="2"/>
        <v>0</v>
      </c>
      <c r="N37" s="381">
        <f t="shared" si="13"/>
        <v>0</v>
      </c>
      <c r="O37" s="693">
        <f t="shared" si="1"/>
        <v>0</v>
      </c>
      <c r="P37" s="700">
        <v>0</v>
      </c>
      <c r="Q37" s="700">
        <f>SUMIF($S$6:$AF$6,"SI",S37:AF37)</f>
        <v>0</v>
      </c>
      <c r="R37" s="521" t="str">
        <f t="shared" si="10"/>
        <v>0.00%</v>
      </c>
      <c r="S37" s="674">
        <v>0</v>
      </c>
      <c r="T37" s="674">
        <v>0</v>
      </c>
      <c r="U37" s="674">
        <v>0</v>
      </c>
      <c r="V37" s="674">
        <v>0</v>
      </c>
      <c r="W37" s="1145">
        <v>0</v>
      </c>
      <c r="X37" s="675">
        <v>0</v>
      </c>
      <c r="Y37" s="675">
        <v>0</v>
      </c>
      <c r="Z37" s="629">
        <v>0</v>
      </c>
      <c r="AA37" s="629">
        <v>0</v>
      </c>
      <c r="AB37" s="677">
        <v>0</v>
      </c>
      <c r="AC37" s="677">
        <v>0</v>
      </c>
      <c r="AD37" s="629"/>
      <c r="AE37" s="629">
        <v>0</v>
      </c>
      <c r="AF37" s="629"/>
      <c r="AH37" s="1030"/>
      <c r="AI37" s="1030"/>
      <c r="AJ37" s="1030"/>
      <c r="AK37" s="1030"/>
      <c r="AL37" s="1030"/>
      <c r="AM37" s="1030"/>
      <c r="AN37" s="1030"/>
      <c r="AO37" s="1030"/>
    </row>
    <row r="38" spans="1:41" s="97" customFormat="1" ht="15" customHeight="1" x14ac:dyDescent="0.25">
      <c r="B38" s="965" t="s">
        <v>4</v>
      </c>
      <c r="C38" s="49" t="s">
        <v>2</v>
      </c>
      <c r="D38" s="47"/>
      <c r="E38" s="117"/>
      <c r="F38" s="118"/>
      <c r="G38" s="618" t="s">
        <v>149</v>
      </c>
      <c r="H38" s="109">
        <f>+H39+H42</f>
        <v>192637071</v>
      </c>
      <c r="I38" s="109">
        <f>+I39+I42</f>
        <v>183005217</v>
      </c>
      <c r="J38" s="109">
        <f ca="1">SUMIF(S$6:$AF20,"ok",S38:AE38)</f>
        <v>13562408.894000001</v>
      </c>
      <c r="K38" s="410">
        <f t="shared" ca="1" si="4"/>
        <v>7.4109411285253154E-2</v>
      </c>
      <c r="L38" s="109">
        <f>+L39+L42</f>
        <v>14286791.571</v>
      </c>
      <c r="M38" s="410">
        <f t="shared" si="2"/>
        <v>7.8067673726481795E-2</v>
      </c>
      <c r="N38" s="72">
        <f>+I38-L38</f>
        <v>168718425.42899999</v>
      </c>
      <c r="O38" s="691">
        <f t="shared" si="1"/>
        <v>0.92193232627351818</v>
      </c>
      <c r="P38" s="701">
        <f>+P42+P39</f>
        <v>199855911.55800003</v>
      </c>
      <c r="Q38" s="701">
        <f>+Q42+Q39</f>
        <v>24856783.254246</v>
      </c>
      <c r="R38" s="520">
        <f t="shared" si="10"/>
        <v>0.12437352020499194</v>
      </c>
      <c r="S38" s="1174">
        <f t="shared" ref="S38:X38" si="14">+S39+S42</f>
        <v>11043670.968</v>
      </c>
      <c r="T38" s="196">
        <f t="shared" si="14"/>
        <v>7769092.0443619993</v>
      </c>
      <c r="U38" s="110">
        <f t="shared" si="14"/>
        <v>2518737.926</v>
      </c>
      <c r="V38" s="110">
        <f t="shared" si="14"/>
        <v>17087691.209883999</v>
      </c>
      <c r="W38" s="943">
        <f t="shared" si="14"/>
        <v>5743809.1340000005</v>
      </c>
      <c r="X38" s="678">
        <f t="shared" si="14"/>
        <v>15515775.522000002</v>
      </c>
      <c r="Y38" s="665">
        <f>+Y42+Y39</f>
        <v>11228359.743000001</v>
      </c>
      <c r="Z38" s="665">
        <f>+Z42+Z39</f>
        <v>8920949.0179999992</v>
      </c>
      <c r="AA38" s="665">
        <f t="shared" ref="AA38:AC38" si="15">+AA42</f>
        <v>29344126.899</v>
      </c>
      <c r="AB38" s="665">
        <f t="shared" si="15"/>
        <v>19217701.140000001</v>
      </c>
      <c r="AC38" s="665">
        <f t="shared" si="15"/>
        <v>16822878.07</v>
      </c>
      <c r="AD38" s="665">
        <f>AD39+AD42</f>
        <v>30345913.094999999</v>
      </c>
      <c r="AE38" s="665">
        <f>+AE42+AE39</f>
        <v>18582770.261999998</v>
      </c>
      <c r="AF38" s="665">
        <f>+AF39+AF42</f>
        <v>48791918.306000002</v>
      </c>
      <c r="AH38" s="1030"/>
      <c r="AI38" s="1030"/>
      <c r="AJ38" s="1030"/>
      <c r="AK38" s="1030"/>
      <c r="AL38" s="1030"/>
      <c r="AM38" s="1030"/>
      <c r="AN38" s="1030"/>
      <c r="AO38" s="1030"/>
    </row>
    <row r="39" spans="1:41" s="97" customFormat="1" ht="15" hidden="1" customHeight="1" x14ac:dyDescent="0.25">
      <c r="B39" s="965"/>
      <c r="C39" s="49" t="s">
        <v>423</v>
      </c>
      <c r="D39" s="47"/>
      <c r="E39" s="117"/>
      <c r="F39" s="118"/>
      <c r="G39" s="618" t="s">
        <v>86</v>
      </c>
      <c r="H39" s="109">
        <f>+H40+H41</f>
        <v>0</v>
      </c>
      <c r="I39" s="109">
        <f>+I40+I41</f>
        <v>0</v>
      </c>
      <c r="J39" s="109">
        <f ca="1">SUMIF(S$6:$AF21,"ok",S39:AE39)</f>
        <v>0</v>
      </c>
      <c r="K39" s="410" t="str">
        <f ca="1">IFERROR(J39/I39,"0,00%")</f>
        <v>0,00%</v>
      </c>
      <c r="L39" s="109">
        <f>+L40+L41</f>
        <v>0</v>
      </c>
      <c r="M39" s="410">
        <f t="shared" si="2"/>
        <v>0</v>
      </c>
      <c r="N39" s="72">
        <f>+I39-L39</f>
        <v>0</v>
      </c>
      <c r="O39" s="691">
        <f t="shared" si="1"/>
        <v>0</v>
      </c>
      <c r="P39" s="701">
        <v>0</v>
      </c>
      <c r="Q39" s="701">
        <f>+Q41+Q40</f>
        <v>0</v>
      </c>
      <c r="R39" s="520" t="str">
        <f t="shared" si="10"/>
        <v>0.00%</v>
      </c>
      <c r="S39" s="196">
        <f>SUM(S40:S41)</f>
        <v>0</v>
      </c>
      <c r="T39" s="196">
        <f>SUM(T40:T41)</f>
        <v>0</v>
      </c>
      <c r="U39" s="110">
        <f>+U40+U41</f>
        <v>0</v>
      </c>
      <c r="V39" s="110">
        <f>+V40+V41</f>
        <v>0</v>
      </c>
      <c r="W39" s="1009">
        <v>0</v>
      </c>
      <c r="X39" s="636">
        <v>0</v>
      </c>
      <c r="Y39" s="109">
        <v>0</v>
      </c>
      <c r="Z39" s="208">
        <v>0</v>
      </c>
      <c r="AA39" s="665">
        <v>0</v>
      </c>
      <c r="AB39" s="665">
        <v>0</v>
      </c>
      <c r="AC39" s="665">
        <f>+AC40+AC41</f>
        <v>0</v>
      </c>
      <c r="AD39" s="665">
        <f>SUM(AD40:AD41)</f>
        <v>0</v>
      </c>
      <c r="AE39" s="665">
        <f>+AE41</f>
        <v>0</v>
      </c>
      <c r="AF39" s="665">
        <f>+AF40</f>
        <v>0</v>
      </c>
      <c r="AH39" s="1030"/>
      <c r="AI39" s="1030"/>
      <c r="AJ39" s="1030"/>
      <c r="AK39" s="1030"/>
      <c r="AL39" s="1030"/>
      <c r="AM39" s="1030"/>
      <c r="AN39" s="1030"/>
      <c r="AO39" s="1030"/>
    </row>
    <row r="40" spans="1:41" s="97" customFormat="1" ht="15" hidden="1" customHeight="1" x14ac:dyDescent="0.25">
      <c r="B40" s="970"/>
      <c r="C40" s="88"/>
      <c r="D40" s="119"/>
      <c r="E40" s="116"/>
      <c r="F40" s="194" t="s">
        <v>766</v>
      </c>
      <c r="G40" s="695" t="s">
        <v>482</v>
      </c>
      <c r="H40" s="159">
        <v>0</v>
      </c>
      <c r="I40" s="115">
        <v>0</v>
      </c>
      <c r="J40" s="162">
        <f ca="1">SUMIF(S$6:$AF22,"ok",S40:AE40)</f>
        <v>0</v>
      </c>
      <c r="K40" s="524" t="str">
        <f ca="1">IFERROR(J40/I40,"0,00%")</f>
        <v>0,00%</v>
      </c>
      <c r="L40" s="159">
        <v>0</v>
      </c>
      <c r="M40" s="524">
        <f t="shared" si="2"/>
        <v>0</v>
      </c>
      <c r="N40" s="71">
        <f>+I40-L40</f>
        <v>0</v>
      </c>
      <c r="O40" s="228">
        <f t="shared" si="1"/>
        <v>0</v>
      </c>
      <c r="P40" s="702">
        <v>0</v>
      </c>
      <c r="Q40" s="706">
        <f>SUMIF($S$6:$AF$6,"SI",S40:AF40)</f>
        <v>0</v>
      </c>
      <c r="R40" s="1017" t="str">
        <f t="shared" si="10"/>
        <v>0.00%</v>
      </c>
      <c r="S40" s="674">
        <v>0</v>
      </c>
      <c r="T40" s="674">
        <v>0</v>
      </c>
      <c r="U40" s="674">
        <v>0</v>
      </c>
      <c r="V40" s="674">
        <v>0</v>
      </c>
      <c r="W40" s="1145">
        <v>0</v>
      </c>
      <c r="X40" s="675">
        <v>0</v>
      </c>
      <c r="Y40" s="115">
        <v>0</v>
      </c>
      <c r="Z40" s="112">
        <v>0</v>
      </c>
      <c r="AA40" s="679">
        <v>0</v>
      </c>
      <c r="AB40" s="679">
        <v>0</v>
      </c>
      <c r="AC40" s="679">
        <v>0</v>
      </c>
      <c r="AD40" s="679">
        <v>0</v>
      </c>
      <c r="AE40" s="679">
        <v>0</v>
      </c>
      <c r="AF40" s="679">
        <v>0</v>
      </c>
      <c r="AH40" s="1030"/>
      <c r="AI40" s="1030"/>
      <c r="AJ40" s="1030"/>
      <c r="AK40" s="1030"/>
      <c r="AL40" s="1030"/>
      <c r="AM40" s="1030"/>
      <c r="AN40" s="1030"/>
      <c r="AO40" s="1030"/>
    </row>
    <row r="41" spans="1:41" s="160" customFormat="1" ht="15" hidden="1" customHeight="1" x14ac:dyDescent="0.25">
      <c r="B41" s="1019"/>
      <c r="C41" s="157"/>
      <c r="D41" s="318"/>
      <c r="E41" s="158"/>
      <c r="F41" s="194" t="s">
        <v>765</v>
      </c>
      <c r="G41" s="695" t="s">
        <v>632</v>
      </c>
      <c r="H41" s="159">
        <v>0</v>
      </c>
      <c r="I41" s="115">
        <v>0</v>
      </c>
      <c r="J41" s="162">
        <f ca="1">SUMIF(S$6:$AF28,"ok",S41:AE41)</f>
        <v>0</v>
      </c>
      <c r="K41" s="524" t="str">
        <f ca="1">IFERROR(J41/I41,"0,00%")</f>
        <v>0,00%</v>
      </c>
      <c r="L41" s="159">
        <v>0</v>
      </c>
      <c r="M41" s="524">
        <f t="shared" si="2"/>
        <v>0</v>
      </c>
      <c r="N41" s="71">
        <f>+I41-L41</f>
        <v>0</v>
      </c>
      <c r="O41" s="228">
        <f t="shared" si="1"/>
        <v>0</v>
      </c>
      <c r="P41" s="702">
        <v>0</v>
      </c>
      <c r="Q41" s="706">
        <f>SUMIF($S$6:$AF$6,"SI",S41:AF41)</f>
        <v>0</v>
      </c>
      <c r="R41" s="1017" t="str">
        <f>IFERROR(Q41/P41,"0.00%")</f>
        <v>0.00%</v>
      </c>
      <c r="S41" s="674">
        <v>0</v>
      </c>
      <c r="T41" s="674">
        <v>0</v>
      </c>
      <c r="U41" s="674">
        <v>0</v>
      </c>
      <c r="V41" s="674">
        <v>0</v>
      </c>
      <c r="W41" s="1147">
        <v>0</v>
      </c>
      <c r="X41" s="680">
        <v>0</v>
      </c>
      <c r="Y41" s="159">
        <v>0</v>
      </c>
      <c r="Z41" s="159">
        <v>0</v>
      </c>
      <c r="AA41" s="681">
        <v>0</v>
      </c>
      <c r="AB41" s="681">
        <v>0</v>
      </c>
      <c r="AC41" s="681">
        <v>0</v>
      </c>
      <c r="AD41" s="681">
        <v>0</v>
      </c>
      <c r="AE41" s="681">
        <v>0</v>
      </c>
      <c r="AF41" s="681">
        <v>0</v>
      </c>
      <c r="AG41" s="97"/>
      <c r="AH41" s="1030"/>
      <c r="AI41" s="1030"/>
      <c r="AJ41" s="1030"/>
      <c r="AK41" s="1030"/>
      <c r="AL41" s="1030"/>
      <c r="AM41" s="1030"/>
      <c r="AN41" s="1030"/>
      <c r="AO41" s="1030"/>
    </row>
    <row r="42" spans="1:41" s="97" customFormat="1" ht="15" customHeight="1" x14ac:dyDescent="0.25">
      <c r="B42" s="965"/>
      <c r="C42" s="49">
        <v>3</v>
      </c>
      <c r="D42" s="47"/>
      <c r="E42" s="117"/>
      <c r="F42" s="118"/>
      <c r="G42" s="618" t="s">
        <v>209</v>
      </c>
      <c r="H42" s="109">
        <f>+H43+H48+H55+H56+H57+H58</f>
        <v>192637071</v>
      </c>
      <c r="I42" s="109">
        <f>+I43+I48+I55+I56+I57+I58</f>
        <v>183005217</v>
      </c>
      <c r="J42" s="109">
        <f ca="1">+J56+J57++J43+J48+J55+J58</f>
        <v>13562408.893999999</v>
      </c>
      <c r="K42" s="410">
        <f t="shared" ca="1" si="4"/>
        <v>7.4109411285253141E-2</v>
      </c>
      <c r="L42" s="109">
        <f>+L43+L48+L55+L56+L57+L58</f>
        <v>14286791.571</v>
      </c>
      <c r="M42" s="410">
        <f t="shared" si="2"/>
        <v>7.8067673726481795E-2</v>
      </c>
      <c r="N42" s="109">
        <f>+N56+N57++N43+N48+N55+N58</f>
        <v>168718425.42900002</v>
      </c>
      <c r="O42" s="691">
        <f t="shared" si="1"/>
        <v>0.92193232627351829</v>
      </c>
      <c r="P42" s="701">
        <f>+P56+P57++P43+P48+P55+P58</f>
        <v>199855911.55800003</v>
      </c>
      <c r="Q42" s="701">
        <f>+Q56+Q57++Q43+Q48+Q55</f>
        <v>24856783.254246</v>
      </c>
      <c r="R42" s="520">
        <f t="shared" si="10"/>
        <v>0.12437352020499194</v>
      </c>
      <c r="S42" s="1229">
        <f>+S56+S57++S43+S48+S55</f>
        <v>11043670.968</v>
      </c>
      <c r="T42" s="195">
        <f>+T56+T57++T43+T48+T55</f>
        <v>7769092.0443619993</v>
      </c>
      <c r="U42" s="109">
        <f>+U43+U48+U55+U56+U57+U59</f>
        <v>2518737.926</v>
      </c>
      <c r="V42" s="109">
        <f>+V43+V48+V55+V56+V57+V59</f>
        <v>17087691.209883999</v>
      </c>
      <c r="W42" s="943">
        <f>+W43+W48+W55+W56+W57+W58</f>
        <v>5743809.1340000005</v>
      </c>
      <c r="X42" s="109">
        <f t="shared" ref="X42:AA42" si="16">+X43+X48+X55+X56+X57+X58</f>
        <v>15515775.522000002</v>
      </c>
      <c r="Y42" s="109">
        <f t="shared" si="16"/>
        <v>11228359.743000001</v>
      </c>
      <c r="Z42" s="109">
        <f t="shared" si="16"/>
        <v>8920949.0179999992</v>
      </c>
      <c r="AA42" s="109">
        <f t="shared" si="16"/>
        <v>29344126.899</v>
      </c>
      <c r="AB42" s="109">
        <f>+AB56+AB57+AB43+AB48+AB55+AB58</f>
        <v>19217701.140000001</v>
      </c>
      <c r="AC42" s="109">
        <f t="shared" ref="AC42:AF42" si="17">+AC56+AC57+AC43+AC48+AC55+AC58</f>
        <v>16822878.07</v>
      </c>
      <c r="AD42" s="109">
        <f>AD43+AD48+AD55+AD56+AD57+AD58</f>
        <v>30345913.094999999</v>
      </c>
      <c r="AE42" s="109">
        <f t="shared" si="17"/>
        <v>18582770.261999998</v>
      </c>
      <c r="AF42" s="109">
        <f t="shared" si="17"/>
        <v>48791918.306000002</v>
      </c>
      <c r="AH42" s="1030"/>
      <c r="AI42" s="1030"/>
      <c r="AJ42" s="1030"/>
      <c r="AK42" s="1030"/>
      <c r="AL42" s="1030"/>
      <c r="AM42" s="1030"/>
      <c r="AN42" s="1030"/>
      <c r="AO42" s="1030"/>
    </row>
    <row r="43" spans="1:41" s="339" customFormat="1" ht="15" customHeight="1" x14ac:dyDescent="0.25">
      <c r="A43" s="200"/>
      <c r="B43" s="692"/>
      <c r="C43" s="353"/>
      <c r="D43" s="354">
        <v>5</v>
      </c>
      <c r="E43" s="355"/>
      <c r="F43" s="197" t="s">
        <v>867</v>
      </c>
      <c r="G43" s="648" t="s">
        <v>945</v>
      </c>
      <c r="H43" s="241">
        <f>SUM(H44:H47)</f>
        <v>95697781</v>
      </c>
      <c r="I43" s="241">
        <f>SUM(I44:I47)</f>
        <v>86065927</v>
      </c>
      <c r="J43" s="241">
        <f ca="1">SUMIF(S$6:$AF$6,"ok",S43:AE43)</f>
        <v>11134674.191</v>
      </c>
      <c r="K43" s="522">
        <f t="shared" ca="1" si="4"/>
        <v>0.12937377867317923</v>
      </c>
      <c r="L43" s="241">
        <f>SUM(L44:L47)</f>
        <v>11189334.408</v>
      </c>
      <c r="M43" s="522">
        <f t="shared" si="2"/>
        <v>0.13000887573081041</v>
      </c>
      <c r="N43" s="381">
        <f t="shared" ref="N43:N53" si="18">+I43-L43</f>
        <v>74876592.592000008</v>
      </c>
      <c r="O43" s="693">
        <f t="shared" si="1"/>
        <v>0.86999112426918968</v>
      </c>
      <c r="P43" s="700">
        <f t="shared" ref="P43:AF43" si="19">SUM(P44:P47)</f>
        <v>98982010.986000001</v>
      </c>
      <c r="Q43" s="700">
        <f>SUM(Q44:Q47)</f>
        <v>23323405.706440002</v>
      </c>
      <c r="R43" s="521">
        <f t="shared" si="10"/>
        <v>0.23563277280493786</v>
      </c>
      <c r="S43" s="414">
        <f t="shared" si="19"/>
        <v>11026865.968</v>
      </c>
      <c r="T43" s="342">
        <f t="shared" si="19"/>
        <v>7521703.9565399997</v>
      </c>
      <c r="U43" s="241">
        <f>SUM(U44:U47)</f>
        <v>107808.223</v>
      </c>
      <c r="V43" s="241">
        <f>SUM(V44:V47)</f>
        <v>15801701.7499</v>
      </c>
      <c r="W43" s="950">
        <f>SUM(W44:W47)</f>
        <v>2577763.2140000002</v>
      </c>
      <c r="X43" s="241">
        <f t="shared" si="19"/>
        <v>11938008.580000002</v>
      </c>
      <c r="Y43" s="241">
        <f t="shared" si="19"/>
        <v>6176585.8080000002</v>
      </c>
      <c r="Z43" s="241">
        <f t="shared" si="19"/>
        <v>3838947.8369999998</v>
      </c>
      <c r="AA43" s="241">
        <f t="shared" si="19"/>
        <v>8834743.2990000006</v>
      </c>
      <c r="AB43" s="241">
        <f>SUM(AB44:AB47)</f>
        <v>10730330.925999999</v>
      </c>
      <c r="AC43" s="241">
        <f t="shared" si="19"/>
        <v>12575431.784</v>
      </c>
      <c r="AD43" s="241">
        <f>SUM(AD44:AD47)</f>
        <v>18434625.588</v>
      </c>
      <c r="AE43" s="241">
        <f t="shared" si="19"/>
        <v>9391847.1039999984</v>
      </c>
      <c r="AF43" s="241">
        <f t="shared" si="19"/>
        <v>12102469.643999999</v>
      </c>
      <c r="AH43" s="1030"/>
      <c r="AI43" s="1030"/>
      <c r="AJ43" s="1030"/>
      <c r="AK43" s="1030"/>
      <c r="AL43" s="1030"/>
      <c r="AM43" s="1030"/>
      <c r="AN43" s="1030"/>
      <c r="AO43" s="1030"/>
    </row>
    <row r="44" spans="1:41" s="97" customFormat="1" ht="15" hidden="1" customHeight="1" x14ac:dyDescent="0.25">
      <c r="B44" s="964"/>
      <c r="C44" s="51"/>
      <c r="D44" s="209"/>
      <c r="E44" s="710">
        <v>1</v>
      </c>
      <c r="F44" s="132" t="s">
        <v>808</v>
      </c>
      <c r="G44" s="588" t="s">
        <v>618</v>
      </c>
      <c r="H44" s="241">
        <f>+'P03 2025'!H27</f>
        <v>44226748</v>
      </c>
      <c r="I44" s="241">
        <f>+'P03 2025'!Z30</f>
        <v>44226748</v>
      </c>
      <c r="J44" s="241">
        <f ca="1">SUMIF(S$6:$AF$6,"ok",S44:AE44)</f>
        <v>0</v>
      </c>
      <c r="K44" s="522">
        <f t="shared" ca="1" si="4"/>
        <v>0</v>
      </c>
      <c r="L44" s="382">
        <v>0</v>
      </c>
      <c r="M44" s="522">
        <f t="shared" si="2"/>
        <v>0</v>
      </c>
      <c r="N44" s="381">
        <f>+I44-L44</f>
        <v>44226748</v>
      </c>
      <c r="O44" s="693">
        <f t="shared" si="1"/>
        <v>1</v>
      </c>
      <c r="P44" s="700">
        <f>+'P03 2024'!AA21</f>
        <v>45417296.072999999</v>
      </c>
      <c r="Q44" s="700">
        <f>SUMIF($S$6:$AF$6,"SI",S44:AF44)</f>
        <v>0</v>
      </c>
      <c r="R44" s="521">
        <f t="shared" si="10"/>
        <v>0</v>
      </c>
      <c r="S44" s="343">
        <v>0</v>
      </c>
      <c r="T44" s="343">
        <v>0</v>
      </c>
      <c r="U44" s="343">
        <v>0</v>
      </c>
      <c r="V44" s="343">
        <v>0</v>
      </c>
      <c r="W44" s="1143">
        <f>+'P03 2024'!AK7</f>
        <v>9999.9580000000005</v>
      </c>
      <c r="X44" s="667">
        <f>+'P03 2024'!BD6</f>
        <v>125929.73</v>
      </c>
      <c r="Y44" s="630">
        <f>+'P03 2024'!BW8</f>
        <v>335487.72100000002</v>
      </c>
      <c r="Z44" s="630">
        <f>+'P03 2024'!CP9</f>
        <v>265650.33500000002</v>
      </c>
      <c r="AA44" s="630">
        <f>+'P03 2024'!DH8</f>
        <v>3432868.5070000002</v>
      </c>
      <c r="AB44" s="630">
        <f>+'P03 2024'!EB7</f>
        <v>4109017.0109999999</v>
      </c>
      <c r="AC44" s="630">
        <f>+'P03 2024'!EV5</f>
        <v>4106314.7349999999</v>
      </c>
      <c r="AD44" s="630">
        <f>'P03 2024'!FP7</f>
        <v>3856496.9410000001</v>
      </c>
      <c r="AE44" s="630">
        <f>+'P03 2024'!GI10</f>
        <v>8242748.5089999996</v>
      </c>
      <c r="AF44" s="630">
        <f>+'P03 2024'!HA11</f>
        <v>9757328.9309999999</v>
      </c>
      <c r="AG44" s="339"/>
      <c r="AH44" s="1030"/>
      <c r="AI44" s="1030"/>
      <c r="AJ44" s="1030"/>
      <c r="AK44" s="1030"/>
      <c r="AL44" s="1030"/>
      <c r="AM44" s="1030"/>
      <c r="AN44" s="1030"/>
      <c r="AO44" s="1030"/>
    </row>
    <row r="45" spans="1:41" s="97" customFormat="1" ht="15" hidden="1" customHeight="1" x14ac:dyDescent="0.25">
      <c r="B45" s="964"/>
      <c r="C45" s="51"/>
      <c r="D45" s="209"/>
      <c r="E45" s="710">
        <v>2</v>
      </c>
      <c r="F45" s="132" t="s">
        <v>809</v>
      </c>
      <c r="G45" s="588" t="s">
        <v>619</v>
      </c>
      <c r="H45" s="241">
        <f>+'P03 2025'!H28+9631854</f>
        <v>33521770</v>
      </c>
      <c r="I45" s="241">
        <f>+'P03 2025'!Z31</f>
        <v>23589916</v>
      </c>
      <c r="J45" s="241">
        <f ca="1">SUMIF(S$6:$AF$6,"ok",S45:AE45)</f>
        <v>107808.223</v>
      </c>
      <c r="K45" s="522">
        <f t="shared" ca="1" si="4"/>
        <v>4.5700977909374496E-3</v>
      </c>
      <c r="L45" s="382">
        <f>+'P03 2025'!AB32</f>
        <v>162468.44</v>
      </c>
      <c r="M45" s="522">
        <f t="shared" si="2"/>
        <v>6.8871987505169582E-3</v>
      </c>
      <c r="N45" s="381">
        <f t="shared" si="18"/>
        <v>23427447.559999999</v>
      </c>
      <c r="O45" s="693">
        <f t="shared" si="1"/>
        <v>0.99311280124948298</v>
      </c>
      <c r="P45" s="700">
        <f>+'P03 2024'!AA22</f>
        <v>32853098.691</v>
      </c>
      <c r="Q45" s="700">
        <f>SUMIF($S$6:$AF$6,"SI",S45:AF45)</f>
        <v>17825197.872978002</v>
      </c>
      <c r="R45" s="521">
        <f t="shared" si="10"/>
        <v>0.54257280388169771</v>
      </c>
      <c r="S45" s="343">
        <v>0</v>
      </c>
      <c r="T45" s="343">
        <f>+'P03 2024'!J20</f>
        <v>2023496.123078</v>
      </c>
      <c r="U45" s="343">
        <f>+'P03 2025'!Q8</f>
        <v>107808.223</v>
      </c>
      <c r="V45" s="1036">
        <f>+'P03 2024'!R6</f>
        <v>15801701.7499</v>
      </c>
      <c r="W45" s="1143">
        <f>+'P03 2024'!AK8</f>
        <v>2493326.736</v>
      </c>
      <c r="X45" s="667">
        <f>+'P03 2024'!BD7</f>
        <v>6815555.0870000003</v>
      </c>
      <c r="Y45" s="630">
        <f>+'P03 2024'!BW9</f>
        <v>5407289.9100000001</v>
      </c>
      <c r="Z45" s="630">
        <f>+'P03 2024'!CP10</f>
        <v>3573297.5019999999</v>
      </c>
      <c r="AA45" s="630">
        <f>+'P03 2024'!DH9</f>
        <v>3617424.84</v>
      </c>
      <c r="AB45" s="630">
        <f>+'P03 2024'!EB8</f>
        <v>4489045.0049999999</v>
      </c>
      <c r="AC45" s="630">
        <f>+'P03 2024'!EV6</f>
        <v>8394117.0500000007</v>
      </c>
      <c r="AD45" s="630">
        <f>'P03 2024'!FP8</f>
        <v>10621237.710999999</v>
      </c>
      <c r="AE45" s="630">
        <f>+'P03 2024'!GI11</f>
        <v>1036561.973</v>
      </c>
      <c r="AF45" s="630">
        <f>+'P03 2024'!HA12</f>
        <v>2345140.713</v>
      </c>
      <c r="AG45" s="339"/>
      <c r="AH45" s="1030"/>
      <c r="AI45" s="1030"/>
      <c r="AJ45" s="1030"/>
      <c r="AK45" s="1030"/>
      <c r="AL45" s="1030"/>
      <c r="AM45" s="1030"/>
      <c r="AN45" s="1030"/>
      <c r="AO45" s="1030"/>
    </row>
    <row r="46" spans="1:41" s="97" customFormat="1" ht="15" hidden="1" customHeight="1" x14ac:dyDescent="0.25">
      <c r="B46" s="964"/>
      <c r="C46" s="51"/>
      <c r="D46" s="209"/>
      <c r="E46" s="710">
        <v>3</v>
      </c>
      <c r="F46" s="132" t="s">
        <v>810</v>
      </c>
      <c r="G46" s="588" t="s">
        <v>620</v>
      </c>
      <c r="H46" s="241">
        <f>+'P03 2025'!H29</f>
        <v>17949263</v>
      </c>
      <c r="I46" s="241">
        <f>+'P03 2025'!Z33</f>
        <v>17949263</v>
      </c>
      <c r="J46" s="241">
        <f ca="1">SUMIF(S$6:$AF$6,"ok",S46:AE46)</f>
        <v>11026865.968</v>
      </c>
      <c r="K46" s="522">
        <f t="shared" ca="1" si="4"/>
        <v>0.61433530546630244</v>
      </c>
      <c r="L46" s="382">
        <f>+'P03 2025'!AB34</f>
        <v>11026865.968</v>
      </c>
      <c r="M46" s="522">
        <f t="shared" si="2"/>
        <v>0.61433530546630244</v>
      </c>
      <c r="N46" s="381">
        <f>+I46-L46</f>
        <v>6922397.0319999997</v>
      </c>
      <c r="O46" s="693">
        <f t="shared" si="1"/>
        <v>0.38566469453369756</v>
      </c>
      <c r="P46" s="700">
        <f>+'P03 2024'!AA24</f>
        <v>17949262.760000002</v>
      </c>
      <c r="Q46" s="700">
        <f>SUMIF($S$6:$AF$6,"SI",S46:AF46)</f>
        <v>5498207.8334619999</v>
      </c>
      <c r="R46" s="521">
        <f t="shared" si="10"/>
        <v>0.30631942420023939</v>
      </c>
      <c r="S46" s="1230">
        <f>+'P03 2025'!J31</f>
        <v>11026865.968</v>
      </c>
      <c r="T46" s="343">
        <f>+'P03 2024'!J22</f>
        <v>5498207.8334619999</v>
      </c>
      <c r="U46" s="343">
        <v>0</v>
      </c>
      <c r="V46" s="1036">
        <v>0</v>
      </c>
      <c r="W46" s="1143">
        <v>0</v>
      </c>
      <c r="X46" s="667">
        <f>+'P03 2024'!BD8</f>
        <v>4846954.2520000003</v>
      </c>
      <c r="Y46" s="667">
        <f>+'P03 2024'!BW10</f>
        <v>208919.28099999999</v>
      </c>
      <c r="Z46" s="630">
        <v>0</v>
      </c>
      <c r="AA46" s="630">
        <f>+'P03 2024'!DH10</f>
        <v>1774828.6529999999</v>
      </c>
      <c r="AB46" s="630">
        <f>+'P03 2024'!EB9</f>
        <v>2132268.91</v>
      </c>
      <c r="AC46" s="630">
        <v>0</v>
      </c>
      <c r="AD46" s="1037">
        <f>'P03 2024'!FP9</f>
        <v>3807290.8620000002</v>
      </c>
      <c r="AE46" s="630">
        <f>+'P03 2024'!GI12</f>
        <v>47812.76</v>
      </c>
      <c r="AF46" s="630">
        <v>0</v>
      </c>
      <c r="AG46" s="339"/>
      <c r="AH46" s="1030"/>
      <c r="AI46" s="1030"/>
      <c r="AJ46" s="1030"/>
      <c r="AK46" s="1030"/>
      <c r="AL46" s="1030"/>
      <c r="AM46" s="1030"/>
      <c r="AN46" s="1030"/>
      <c r="AO46" s="1030"/>
    </row>
    <row r="47" spans="1:41" s="97" customFormat="1" ht="15" hidden="1" customHeight="1" x14ac:dyDescent="0.25">
      <c r="B47" s="964"/>
      <c r="C47" s="51"/>
      <c r="D47" s="209"/>
      <c r="E47" s="710">
        <v>8</v>
      </c>
      <c r="F47" s="132" t="s">
        <v>811</v>
      </c>
      <c r="G47" s="588" t="s">
        <v>899</v>
      </c>
      <c r="H47" s="241">
        <f>+'P03 2025'!H32</f>
        <v>0</v>
      </c>
      <c r="I47" s="241">
        <f>+'P03 2025'!Z36</f>
        <v>300000</v>
      </c>
      <c r="J47" s="241">
        <f ca="1">SUMIF(S$6:$AF$6,"ok",S47:AE47)</f>
        <v>0</v>
      </c>
      <c r="K47" s="522">
        <f t="shared" ca="1" si="4"/>
        <v>0</v>
      </c>
      <c r="L47" s="382">
        <v>0</v>
      </c>
      <c r="M47" s="522">
        <f t="shared" si="2"/>
        <v>0</v>
      </c>
      <c r="N47" s="381">
        <f t="shared" si="18"/>
        <v>300000</v>
      </c>
      <c r="O47" s="693">
        <f t="shared" si="1"/>
        <v>1</v>
      </c>
      <c r="P47" s="700">
        <f>+'P03 2024'!AA26</f>
        <v>2762353.4620000003</v>
      </c>
      <c r="Q47" s="700">
        <f>SUMIF($S$6:$AF$6,"SI",S47:AF47)</f>
        <v>0</v>
      </c>
      <c r="R47" s="521">
        <f t="shared" si="10"/>
        <v>0</v>
      </c>
      <c r="S47" s="343">
        <v>0</v>
      </c>
      <c r="T47" s="343">
        <v>0</v>
      </c>
      <c r="U47" s="343">
        <v>0</v>
      </c>
      <c r="V47" s="343">
        <v>0</v>
      </c>
      <c r="W47" s="1143">
        <f>+'P03 2024'!AK9</f>
        <v>74436.52</v>
      </c>
      <c r="X47" s="667">
        <f>+'P03 2024'!BD9</f>
        <v>149569.511</v>
      </c>
      <c r="Y47" s="667">
        <f>+'P03 2024'!BW11</f>
        <v>224888.89600000001</v>
      </c>
      <c r="Z47" s="630">
        <v>0</v>
      </c>
      <c r="AA47" s="630">
        <f>+'P03 2024'!DH11</f>
        <v>9621.2990000000009</v>
      </c>
      <c r="AB47" s="630">
        <v>0</v>
      </c>
      <c r="AC47" s="630">
        <f>+'P03 2024'!EV7</f>
        <v>74999.998999999996</v>
      </c>
      <c r="AD47" s="630">
        <f>'P03 2024'!FP10</f>
        <v>149600.07399999999</v>
      </c>
      <c r="AE47" s="630">
        <f>+'P03 2024'!GI13</f>
        <v>64723.862000000001</v>
      </c>
      <c r="AF47" s="630">
        <v>0</v>
      </c>
      <c r="AG47" s="339"/>
      <c r="AH47" s="1030"/>
      <c r="AI47" s="1030"/>
      <c r="AJ47" s="1030"/>
      <c r="AK47" s="1030"/>
      <c r="AL47" s="1030"/>
      <c r="AM47" s="1030"/>
      <c r="AN47" s="1030"/>
      <c r="AO47" s="1030"/>
    </row>
    <row r="48" spans="1:41" s="97" customFormat="1" ht="15" customHeight="1" x14ac:dyDescent="0.25">
      <c r="B48" s="964"/>
      <c r="C48" s="51"/>
      <c r="D48" s="209">
        <v>6</v>
      </c>
      <c r="E48" s="116"/>
      <c r="F48" s="132" t="s">
        <v>866</v>
      </c>
      <c r="G48" s="648" t="s">
        <v>946</v>
      </c>
      <c r="H48" s="241">
        <f>SUM(H49:H54)</f>
        <v>56114193</v>
      </c>
      <c r="I48" s="241">
        <f>SUM(I49:I54)</f>
        <v>56114193</v>
      </c>
      <c r="J48" s="241">
        <f ca="1">SUMIF(S$6:$AF$6,"ok",S48:AE48)</f>
        <v>26805</v>
      </c>
      <c r="K48" s="522">
        <f t="shared" ca="1" si="4"/>
        <v>4.7768663446696985E-4</v>
      </c>
      <c r="L48" s="241">
        <f>SUM(L49:L54)</f>
        <v>26805</v>
      </c>
      <c r="M48" s="522">
        <f t="shared" si="2"/>
        <v>4.7768663446696985E-4</v>
      </c>
      <c r="N48" s="381">
        <f t="shared" si="18"/>
        <v>56087388</v>
      </c>
      <c r="O48" s="693">
        <f t="shared" si="1"/>
        <v>0.99952231336553299</v>
      </c>
      <c r="P48" s="700">
        <f t="shared" ref="P48:AF48" si="20">SUM(P49:P54)</f>
        <v>59528165.83600001</v>
      </c>
      <c r="Q48" s="700">
        <f>SUM(Q49:Q54)</f>
        <v>1377699.1508220001</v>
      </c>
      <c r="R48" s="521">
        <f t="shared" si="10"/>
        <v>2.3143651941461774E-2</v>
      </c>
      <c r="S48" s="414">
        <f>SUM(S49:S54)</f>
        <v>16805</v>
      </c>
      <c r="T48" s="342">
        <f>SUM(T49:T54)</f>
        <v>247388.087822</v>
      </c>
      <c r="U48" s="241">
        <f>SUM(U49:U54)</f>
        <v>10000</v>
      </c>
      <c r="V48" s="241">
        <f>SUM(V49:V54)</f>
        <v>1130311.0630000001</v>
      </c>
      <c r="W48" s="950">
        <f>SUM(W49:W54)</f>
        <v>2792330.2650000001</v>
      </c>
      <c r="X48" s="241">
        <f t="shared" si="20"/>
        <v>2465782.9109999998</v>
      </c>
      <c r="Y48" s="241">
        <f>SUM(Y49:Y54)</f>
        <v>3735783.9720000001</v>
      </c>
      <c r="Z48" s="241">
        <f t="shared" si="20"/>
        <v>3388239.9609999997</v>
      </c>
      <c r="AA48" s="241">
        <f t="shared" si="20"/>
        <v>2863048.3829999999</v>
      </c>
      <c r="AB48" s="241">
        <f t="shared" si="20"/>
        <v>5967819.2660000008</v>
      </c>
      <c r="AC48" s="241">
        <f t="shared" si="20"/>
        <v>4227155.2359999996</v>
      </c>
      <c r="AD48" s="241">
        <f>SUM(AD49:AD54)</f>
        <v>11051996.388</v>
      </c>
      <c r="AE48" s="241">
        <f t="shared" si="20"/>
        <v>3682382.145</v>
      </c>
      <c r="AF48" s="241">
        <f t="shared" si="20"/>
        <v>28284974.567000002</v>
      </c>
      <c r="AG48" s="339"/>
      <c r="AH48" s="1030"/>
      <c r="AI48" s="1030"/>
      <c r="AJ48" s="1030"/>
      <c r="AK48" s="1030"/>
      <c r="AL48" s="1030"/>
      <c r="AM48" s="1030"/>
      <c r="AN48" s="1030"/>
      <c r="AO48" s="1030"/>
    </row>
    <row r="49" spans="2:41" s="97" customFormat="1" ht="15" hidden="1" customHeight="1" x14ac:dyDescent="0.25">
      <c r="B49" s="964"/>
      <c r="C49" s="51"/>
      <c r="D49" s="209"/>
      <c r="E49" s="710">
        <v>1</v>
      </c>
      <c r="F49" s="132" t="s">
        <v>812</v>
      </c>
      <c r="G49" s="588" t="s">
        <v>621</v>
      </c>
      <c r="H49" s="241">
        <f>+'P03 2025'!H33</f>
        <v>6527670</v>
      </c>
      <c r="I49" s="241">
        <f>+'P03 2025'!Z37</f>
        <v>6527670</v>
      </c>
      <c r="J49" s="241">
        <f ca="1">SUMIF(S$6:$AF$6,"ok",S49:AE49)</f>
        <v>16805</v>
      </c>
      <c r="K49" s="522">
        <f t="shared" ca="1" si="4"/>
        <v>2.5744254841313977E-3</v>
      </c>
      <c r="L49" s="382">
        <f>+'P03 2025'!AB38</f>
        <v>16805</v>
      </c>
      <c r="M49" s="522">
        <f t="shared" si="2"/>
        <v>2.5744254841313977E-3</v>
      </c>
      <c r="N49" s="381">
        <f t="shared" si="18"/>
        <v>6510865</v>
      </c>
      <c r="O49" s="693">
        <f t="shared" si="1"/>
        <v>0.99742557451586855</v>
      </c>
      <c r="P49" s="700">
        <f>+'P03 2024'!AA27</f>
        <v>7397554.1621480007</v>
      </c>
      <c r="Q49" s="700">
        <f t="shared" ref="Q49:Q58" si="21">SUMIF($S$6:$AF$6,"SI",S49:AF49)</f>
        <v>129643.035</v>
      </c>
      <c r="R49" s="521">
        <f t="shared" si="10"/>
        <v>1.7525121433157043E-2</v>
      </c>
      <c r="S49" s="1230">
        <f>+'P03 2025'!J34</f>
        <v>16805</v>
      </c>
      <c r="T49" s="343">
        <f>+'P03 2024'!J25</f>
        <v>23952.975000000002</v>
      </c>
      <c r="U49" s="343">
        <v>0</v>
      </c>
      <c r="V49" s="1036">
        <f>+'P03 2024'!R7</f>
        <v>105690.06</v>
      </c>
      <c r="W49" s="1143">
        <f>+'P03 2024'!AK10</f>
        <v>577091.61300000001</v>
      </c>
      <c r="X49" s="667">
        <f>+'P03 2024'!BD10</f>
        <v>1064351.1969999999</v>
      </c>
      <c r="Y49" s="667">
        <f>+'P03 2024'!BW12</f>
        <v>1129588.764</v>
      </c>
      <c r="Z49" s="630">
        <f>+'P03 2024'!CP11</f>
        <v>1200795.821</v>
      </c>
      <c r="AA49" s="630">
        <f>+'P03 2024'!DH12</f>
        <v>271128.86099999998</v>
      </c>
      <c r="AB49" s="630">
        <f>+'P03 2024'!EB10</f>
        <v>80472.652000000002</v>
      </c>
      <c r="AC49" s="630">
        <f>+'P03 2024'!EV8</f>
        <v>188566</v>
      </c>
      <c r="AD49" s="630">
        <f>'P03 2024'!FP11</f>
        <v>709783.40099999995</v>
      </c>
      <c r="AE49" s="630">
        <f>+'P03 2024'!GI14</f>
        <v>188559.03700000001</v>
      </c>
      <c r="AF49" s="630">
        <f>+'P03 2024'!HA13</f>
        <v>2048812.5460000001</v>
      </c>
      <c r="AG49" s="339"/>
      <c r="AH49" s="1030"/>
      <c r="AI49" s="1030"/>
      <c r="AJ49" s="1030"/>
      <c r="AK49" s="1030"/>
      <c r="AL49" s="1030"/>
      <c r="AM49" s="1030"/>
      <c r="AN49" s="1030"/>
      <c r="AO49" s="1030"/>
    </row>
    <row r="50" spans="2:41" s="97" customFormat="1" ht="15" hidden="1" customHeight="1" x14ac:dyDescent="0.25">
      <c r="B50" s="964"/>
      <c r="C50" s="51"/>
      <c r="D50" s="209"/>
      <c r="E50" s="710">
        <v>1</v>
      </c>
      <c r="F50" s="132" t="s">
        <v>813</v>
      </c>
      <c r="G50" s="588" t="s">
        <v>622</v>
      </c>
      <c r="H50" s="241">
        <f>+'P03 2025'!H35</f>
        <v>5360526</v>
      </c>
      <c r="I50" s="241">
        <f>+'P03 2025'!Z39</f>
        <v>5360526</v>
      </c>
      <c r="J50" s="241">
        <f ca="1">SUMIF(S$6:$AF$6,"ok",S50:AE50)</f>
        <v>0</v>
      </c>
      <c r="K50" s="522">
        <f t="shared" ca="1" si="4"/>
        <v>0</v>
      </c>
      <c r="L50" s="382">
        <v>0</v>
      </c>
      <c r="M50" s="522">
        <f t="shared" si="2"/>
        <v>0</v>
      </c>
      <c r="N50" s="381">
        <f t="shared" si="18"/>
        <v>5360526</v>
      </c>
      <c r="O50" s="693">
        <f t="shared" si="1"/>
        <v>1</v>
      </c>
      <c r="P50" s="700">
        <f>+'P03 2024'!AA29</f>
        <v>3301055.1809880002</v>
      </c>
      <c r="Q50" s="700">
        <f t="shared" si="21"/>
        <v>0</v>
      </c>
      <c r="R50" s="1017">
        <f t="shared" si="10"/>
        <v>0</v>
      </c>
      <c r="S50" s="674">
        <v>0</v>
      </c>
      <c r="T50" s="674">
        <v>0</v>
      </c>
      <c r="U50" s="674">
        <v>0</v>
      </c>
      <c r="V50" s="674">
        <v>0</v>
      </c>
      <c r="W50" s="1145">
        <v>0</v>
      </c>
      <c r="X50" s="675">
        <f>+'P03 2024'!BD11</f>
        <v>406146</v>
      </c>
      <c r="Y50" s="675">
        <v>0</v>
      </c>
      <c r="Z50" s="629">
        <f>+'P03 2024'!CP12</f>
        <v>659886.34</v>
      </c>
      <c r="AA50" s="629">
        <v>0</v>
      </c>
      <c r="AB50" s="629">
        <v>0</v>
      </c>
      <c r="AC50" s="629">
        <f>+'P03 2024'!EV9</f>
        <v>70686</v>
      </c>
      <c r="AD50" s="629">
        <f>'P03 2024'!FP12</f>
        <v>4436946.1370000001</v>
      </c>
      <c r="AE50" s="629">
        <f>+'P03 2024'!GI15</f>
        <v>523219.8</v>
      </c>
      <c r="AF50" s="629">
        <v>0</v>
      </c>
      <c r="AH50" s="1030"/>
      <c r="AI50" s="1030"/>
      <c r="AJ50" s="1030"/>
      <c r="AK50" s="1030"/>
      <c r="AL50" s="1030"/>
      <c r="AM50" s="1030"/>
      <c r="AN50" s="1030"/>
      <c r="AO50" s="1030"/>
    </row>
    <row r="51" spans="2:41" s="97" customFormat="1" ht="15" hidden="1" customHeight="1" x14ac:dyDescent="0.25">
      <c r="B51" s="964"/>
      <c r="C51" s="51"/>
      <c r="D51" s="209"/>
      <c r="E51" s="710">
        <v>1</v>
      </c>
      <c r="F51" s="132" t="s">
        <v>814</v>
      </c>
      <c r="G51" s="588" t="s">
        <v>623</v>
      </c>
      <c r="H51" s="241">
        <f>+'P03 2025'!H36</f>
        <v>2440674</v>
      </c>
      <c r="I51" s="241">
        <f>+'P03 2025'!Z40</f>
        <v>2440674</v>
      </c>
      <c r="J51" s="241">
        <f ca="1">SUMIF(S$6:$AF$6,"ok",S51:AE51)</f>
        <v>10000</v>
      </c>
      <c r="K51" s="522">
        <f t="shared" ca="1" si="4"/>
        <v>4.0972288802191524E-3</v>
      </c>
      <c r="L51" s="382">
        <f>+'P03 2025'!AB41</f>
        <v>10000</v>
      </c>
      <c r="M51" s="522">
        <f t="shared" si="2"/>
        <v>4.0972288802191524E-3</v>
      </c>
      <c r="N51" s="381">
        <f t="shared" si="18"/>
        <v>2430674</v>
      </c>
      <c r="O51" s="693">
        <f t="shared" si="1"/>
        <v>0.99590277111978087</v>
      </c>
      <c r="P51" s="700">
        <f>+'P03 2024'!AA30</f>
        <v>2803139.562502</v>
      </c>
      <c r="Q51" s="700">
        <f t="shared" si="21"/>
        <v>0</v>
      </c>
      <c r="R51" s="1017">
        <f t="shared" si="10"/>
        <v>0</v>
      </c>
      <c r="S51" s="674">
        <v>0</v>
      </c>
      <c r="T51" s="674">
        <v>0</v>
      </c>
      <c r="U51" s="674">
        <f>+'P03 2025'!Q9</f>
        <v>10000</v>
      </c>
      <c r="V51" s="674">
        <v>0</v>
      </c>
      <c r="W51" s="1145">
        <f>+'P03 2024'!AK11</f>
        <v>88260</v>
      </c>
      <c r="X51" s="675">
        <f>+'P03 2024'!BD12</f>
        <v>237956.77</v>
      </c>
      <c r="Y51" s="675">
        <f>+'P03 2024'!BW13</f>
        <v>435985</v>
      </c>
      <c r="Z51" s="629">
        <f>+'P03 2024'!CP13</f>
        <v>111600</v>
      </c>
      <c r="AA51" s="629">
        <f>+'P03 2024'!DH13</f>
        <v>369703.125</v>
      </c>
      <c r="AB51" s="629">
        <f>+'P03 2024'!EB11</f>
        <v>588837</v>
      </c>
      <c r="AC51" s="629">
        <f>+'P03 2024'!EV10</f>
        <v>115920</v>
      </c>
      <c r="AD51" s="629">
        <f>'P03 2024'!FP13</f>
        <v>399995.39199999999</v>
      </c>
      <c r="AE51" s="629">
        <f>+'P03 2024'!GI16</f>
        <v>9500</v>
      </c>
      <c r="AF51" s="629">
        <f>+'P03 2024'!HA14</f>
        <v>468584.00599999999</v>
      </c>
      <c r="AH51" s="1030"/>
      <c r="AI51" s="1030"/>
      <c r="AJ51" s="1030"/>
      <c r="AK51" s="1030"/>
      <c r="AL51" s="1030"/>
      <c r="AM51" s="1030"/>
      <c r="AN51" s="1030"/>
      <c r="AO51" s="1030"/>
    </row>
    <row r="52" spans="2:41" s="97" customFormat="1" ht="15" hidden="1" customHeight="1" x14ac:dyDescent="0.25">
      <c r="B52" s="964"/>
      <c r="C52" s="51"/>
      <c r="D52" s="209"/>
      <c r="E52" s="710">
        <v>1</v>
      </c>
      <c r="F52" s="132" t="s">
        <v>815</v>
      </c>
      <c r="G52" s="588" t="s">
        <v>624</v>
      </c>
      <c r="H52" s="241">
        <f>+'P03 2025'!H37</f>
        <v>2266492</v>
      </c>
      <c r="I52" s="241">
        <f>+'P03 2025'!Z42</f>
        <v>2266492</v>
      </c>
      <c r="J52" s="241">
        <f ca="1">SUMIF(S$6:$AF$6,"ok",S52:AE52)</f>
        <v>0</v>
      </c>
      <c r="K52" s="522">
        <f t="shared" ca="1" si="4"/>
        <v>0</v>
      </c>
      <c r="L52" s="382">
        <f>+'P03 2025'!AB42</f>
        <v>0</v>
      </c>
      <c r="M52" s="522">
        <f t="shared" si="2"/>
        <v>0</v>
      </c>
      <c r="N52" s="381">
        <f t="shared" si="18"/>
        <v>2266492</v>
      </c>
      <c r="O52" s="693">
        <f t="shared" si="1"/>
        <v>1</v>
      </c>
      <c r="P52" s="700">
        <f>+'P03 2024'!AA31</f>
        <v>1841602.4596839999</v>
      </c>
      <c r="Q52" s="700">
        <f t="shared" si="21"/>
        <v>37720.400000000001</v>
      </c>
      <c r="R52" s="1017">
        <f t="shared" si="10"/>
        <v>2.0482379246209541E-2</v>
      </c>
      <c r="S52" s="674">
        <v>0</v>
      </c>
      <c r="T52" s="674">
        <v>0</v>
      </c>
      <c r="U52" s="674">
        <v>0</v>
      </c>
      <c r="V52" s="674">
        <f>+'P03 2024'!R8</f>
        <v>37720.400000000001</v>
      </c>
      <c r="W52" s="1145">
        <f>+'P03 2024'!AK12</f>
        <v>69020</v>
      </c>
      <c r="X52" s="675">
        <f>+'P03 2024'!BD13</f>
        <v>18345.625</v>
      </c>
      <c r="Y52" s="675">
        <f>+'P03 2024'!BW14</f>
        <v>15232.594999999999</v>
      </c>
      <c r="Z52" s="629">
        <f>+'P03 2024'!CP14</f>
        <v>301550.07</v>
      </c>
      <c r="AA52" s="629">
        <v>0</v>
      </c>
      <c r="AB52" s="629">
        <f>+'P03 2024'!EB12</f>
        <v>434634.125</v>
      </c>
      <c r="AC52" s="629">
        <v>0</v>
      </c>
      <c r="AD52" s="629">
        <f>'P03 2024'!FP14</f>
        <v>177916.5</v>
      </c>
      <c r="AE52" s="629">
        <f>+'P03 2024'!GI17</f>
        <v>72530.854999999996</v>
      </c>
      <c r="AF52" s="629">
        <f>+'P03 2024'!HA15</f>
        <v>1694736.75</v>
      </c>
      <c r="AH52" s="1030"/>
      <c r="AI52" s="1030"/>
      <c r="AJ52" s="1030"/>
      <c r="AK52" s="1030"/>
      <c r="AL52" s="1030"/>
      <c r="AM52" s="1030"/>
      <c r="AN52" s="1030"/>
      <c r="AO52" s="1030"/>
    </row>
    <row r="53" spans="2:41" s="97" customFormat="1" ht="15" hidden="1" customHeight="1" x14ac:dyDescent="0.25">
      <c r="B53" s="964"/>
      <c r="C53" s="51"/>
      <c r="D53" s="209"/>
      <c r="E53" s="710">
        <v>1</v>
      </c>
      <c r="F53" s="132" t="s">
        <v>816</v>
      </c>
      <c r="G53" s="588" t="s">
        <v>625</v>
      </c>
      <c r="H53" s="241">
        <f>+'P03 2025'!H38</f>
        <v>8048156</v>
      </c>
      <c r="I53" s="241">
        <f>+'P03 2025'!Z43</f>
        <v>8048156</v>
      </c>
      <c r="J53" s="241">
        <f ca="1">SUMIF(S$6:$AF$6,"ok",S53:AE53)</f>
        <v>0</v>
      </c>
      <c r="K53" s="522">
        <f t="shared" ca="1" si="4"/>
        <v>0</v>
      </c>
      <c r="L53" s="382">
        <f>+'P03 2025'!AB44</f>
        <v>0</v>
      </c>
      <c r="M53" s="522">
        <f t="shared" si="2"/>
        <v>0</v>
      </c>
      <c r="N53" s="381">
        <f t="shared" si="18"/>
        <v>8048156</v>
      </c>
      <c r="O53" s="693">
        <f t="shared" si="1"/>
        <v>1</v>
      </c>
      <c r="P53" s="700">
        <f>+'P03 2024'!AA33</f>
        <v>21682743.550000001</v>
      </c>
      <c r="Q53" s="700">
        <f t="shared" si="21"/>
        <v>0</v>
      </c>
      <c r="R53" s="1017">
        <f t="shared" si="10"/>
        <v>0</v>
      </c>
      <c r="S53" s="674">
        <v>0</v>
      </c>
      <c r="T53" s="674">
        <v>0</v>
      </c>
      <c r="U53" s="674">
        <v>0</v>
      </c>
      <c r="V53" s="674">
        <v>0</v>
      </c>
      <c r="W53" s="1145">
        <v>0</v>
      </c>
      <c r="X53" s="675">
        <v>0</v>
      </c>
      <c r="Y53" s="675">
        <f>+'P03 2024'!BW15</f>
        <v>292620</v>
      </c>
      <c r="Z53" s="629">
        <f>+'P03 2024'!CP15</f>
        <v>90000</v>
      </c>
      <c r="AA53" s="629">
        <f>+'P03 2024'!DH14</f>
        <v>295393.109</v>
      </c>
      <c r="AB53" s="629">
        <f>+'P03 2024'!EB13</f>
        <v>1188671.378</v>
      </c>
      <c r="AC53" s="629">
        <f>+'P03 2024'!EV11</f>
        <v>1052982.463</v>
      </c>
      <c r="AD53" s="629">
        <f>'P03 2024'!FP15</f>
        <v>2615284.1150000002</v>
      </c>
      <c r="AE53" s="629">
        <f>+'P03 2024'!GI18</f>
        <v>760813.52800000005</v>
      </c>
      <c r="AF53" s="629">
        <f>+'P03 2024'!HA16</f>
        <v>3323994.4410000001</v>
      </c>
      <c r="AH53" s="1030"/>
      <c r="AI53" s="1030"/>
      <c r="AJ53" s="1030"/>
      <c r="AK53" s="1030"/>
      <c r="AL53" s="1030"/>
      <c r="AM53" s="1030"/>
      <c r="AN53" s="1030"/>
      <c r="AO53" s="1030"/>
    </row>
    <row r="54" spans="2:41" s="97" customFormat="1" ht="15" hidden="1" customHeight="1" x14ac:dyDescent="0.25">
      <c r="B54" s="964"/>
      <c r="C54" s="51"/>
      <c r="D54" s="209"/>
      <c r="E54" s="710">
        <v>1</v>
      </c>
      <c r="F54" s="132" t="s">
        <v>900</v>
      </c>
      <c r="G54" s="588" t="s">
        <v>626</v>
      </c>
      <c r="H54" s="241">
        <f>+'P03 2025'!H39</f>
        <v>31470675</v>
      </c>
      <c r="I54" s="241">
        <f>+'P03 2025'!Z44</f>
        <v>31470675</v>
      </c>
      <c r="J54" s="241">
        <f ca="1">SUMIF(S$6:$AF$6,"ok",S54:AE54)</f>
        <v>0</v>
      </c>
      <c r="K54" s="522">
        <f t="shared" ca="1" si="4"/>
        <v>0</v>
      </c>
      <c r="L54" s="382">
        <v>0</v>
      </c>
      <c r="M54" s="522">
        <f t="shared" si="2"/>
        <v>0</v>
      </c>
      <c r="N54" s="381">
        <f t="shared" ref="N54:N56" si="22">+I54-L54</f>
        <v>31470675</v>
      </c>
      <c r="O54" s="693">
        <f t="shared" si="1"/>
        <v>1</v>
      </c>
      <c r="P54" s="700">
        <f>+'P03 2024'!AA34</f>
        <v>22502070.920678001</v>
      </c>
      <c r="Q54" s="700">
        <f t="shared" si="21"/>
        <v>1210335.7158220001</v>
      </c>
      <c r="R54" s="1017">
        <f t="shared" si="10"/>
        <v>5.3787747807237461E-2</v>
      </c>
      <c r="S54" s="674">
        <v>0</v>
      </c>
      <c r="T54" s="674">
        <f>+'P03 2024'!J31</f>
        <v>223435.112822</v>
      </c>
      <c r="U54" s="674">
        <v>0</v>
      </c>
      <c r="V54" s="711">
        <f>+'P03 2024'!R9</f>
        <v>986900.603</v>
      </c>
      <c r="W54" s="1145">
        <f>+'P03 2024'!AK13</f>
        <v>2057958.652</v>
      </c>
      <c r="X54" s="675">
        <f>+'P03 2024'!BD14</f>
        <v>738983.31900000002</v>
      </c>
      <c r="Y54" s="675">
        <f>+'P03 2024'!BW16</f>
        <v>1862357.6129999999</v>
      </c>
      <c r="Z54" s="629">
        <f>+'P03 2024'!CP16</f>
        <v>1024407.73</v>
      </c>
      <c r="AA54" s="629">
        <f>+'P03 2024'!DH15</f>
        <v>1926823.2879999999</v>
      </c>
      <c r="AB54" s="629">
        <f>+'P03 2024'!EB14</f>
        <v>3675204.111</v>
      </c>
      <c r="AC54" s="629">
        <f>+'P03 2024'!EV12</f>
        <v>2799000.773</v>
      </c>
      <c r="AD54" s="629">
        <f>'P03 2024'!FP16</f>
        <v>2712070.8429999999</v>
      </c>
      <c r="AE54" s="629">
        <f>+'P03 2024'!GI19</f>
        <v>2127758.9249999998</v>
      </c>
      <c r="AF54" s="629">
        <f>+'P03 2024'!HA17</f>
        <v>20748846.824000001</v>
      </c>
      <c r="AG54" s="120"/>
      <c r="AH54" s="1030"/>
      <c r="AI54" s="1030"/>
      <c r="AJ54" s="1030"/>
      <c r="AK54" s="1030"/>
      <c r="AL54" s="1030"/>
      <c r="AM54" s="1030"/>
      <c r="AN54" s="1030"/>
      <c r="AO54" s="1030"/>
    </row>
    <row r="55" spans="2:41" s="97" customFormat="1" ht="15" customHeight="1" x14ac:dyDescent="0.25">
      <c r="B55" s="964"/>
      <c r="C55" s="51"/>
      <c r="D55" s="209">
        <v>100</v>
      </c>
      <c r="E55" s="116"/>
      <c r="F55" s="132" t="s">
        <v>817</v>
      </c>
      <c r="G55" s="648" t="s">
        <v>947</v>
      </c>
      <c r="H55" s="241">
        <f>+'P03 2025'!H40</f>
        <v>9562068</v>
      </c>
      <c r="I55" s="241">
        <f>+'P03 2025'!Z45</f>
        <v>9562068</v>
      </c>
      <c r="J55" s="241">
        <f ca="1">SUMIF(S$6:$AF$6,"ok",S55:AE55)</f>
        <v>2400929.7030000002</v>
      </c>
      <c r="K55" s="522">
        <f t="shared" ca="1" si="4"/>
        <v>0.25108895931298547</v>
      </c>
      <c r="L55" s="382">
        <f>+'P03 2025'!AB46</f>
        <v>3070652.1630000002</v>
      </c>
      <c r="M55" s="522">
        <f t="shared" si="2"/>
        <v>0.32112845913666377</v>
      </c>
      <c r="N55" s="381">
        <f>+I55-L55</f>
        <v>6491415.8369999994</v>
      </c>
      <c r="O55" s="693">
        <f t="shared" si="1"/>
        <v>0.67887154086333623</v>
      </c>
      <c r="P55" s="1035">
        <f>+'P03 2024'!AA36</f>
        <v>10127864.880000001</v>
      </c>
      <c r="Q55" s="700">
        <f t="shared" si="21"/>
        <v>0</v>
      </c>
      <c r="R55" s="1017">
        <f t="shared" si="10"/>
        <v>0</v>
      </c>
      <c r="S55" s="674">
        <v>0</v>
      </c>
      <c r="T55" s="674">
        <v>0</v>
      </c>
      <c r="U55" s="674">
        <f>+'P03 2025'!Q10</f>
        <v>2400929.7030000002</v>
      </c>
      <c r="V55" s="674">
        <v>0</v>
      </c>
      <c r="W55" s="1145">
        <v>0</v>
      </c>
      <c r="X55" s="675">
        <v>0</v>
      </c>
      <c r="Y55" s="675">
        <v>0</v>
      </c>
      <c r="Z55" s="629">
        <v>0</v>
      </c>
      <c r="AA55" s="629">
        <f>+'P03 2024'!DH16</f>
        <v>42488.205999999998</v>
      </c>
      <c r="AB55" s="629">
        <v>0</v>
      </c>
      <c r="AC55" s="629">
        <v>0</v>
      </c>
      <c r="AD55" s="629">
        <f>'P03 2024'!FP17</f>
        <v>448453.951</v>
      </c>
      <c r="AE55" s="629">
        <f>+'P03 2024'!GI20</f>
        <v>5467962</v>
      </c>
      <c r="AF55" s="629">
        <f>+'P03 2024'!HA18</f>
        <v>3760735.8429999999</v>
      </c>
      <c r="AG55" s="120"/>
      <c r="AH55" s="1030"/>
      <c r="AI55" s="1030"/>
      <c r="AJ55" s="1030"/>
      <c r="AK55" s="1030"/>
      <c r="AL55" s="1030"/>
      <c r="AM55" s="1030"/>
      <c r="AN55" s="1030"/>
      <c r="AO55" s="1030"/>
    </row>
    <row r="56" spans="2:41" s="97" customFormat="1" ht="15" customHeight="1" x14ac:dyDescent="0.25">
      <c r="B56" s="964"/>
      <c r="C56" s="51"/>
      <c r="D56" s="209">
        <v>110</v>
      </c>
      <c r="E56" s="116"/>
      <c r="F56" s="132" t="s">
        <v>219</v>
      </c>
      <c r="G56" s="648" t="s">
        <v>220</v>
      </c>
      <c r="H56" s="241">
        <f>+'P03 2025'!H41</f>
        <v>17361590</v>
      </c>
      <c r="I56" s="241">
        <f>+'P03 2025'!Z47</f>
        <v>17361590</v>
      </c>
      <c r="J56" s="241">
        <f ca="1">SUMIF(S$6:$AF29,"ok",S56:AE56)</f>
        <v>0</v>
      </c>
      <c r="K56" s="522">
        <f t="shared" ca="1" si="4"/>
        <v>0</v>
      </c>
      <c r="L56" s="382">
        <f>+'P03 2025'!AB50</f>
        <v>0</v>
      </c>
      <c r="M56" s="522">
        <f t="shared" si="2"/>
        <v>0</v>
      </c>
      <c r="N56" s="381">
        <f t="shared" si="22"/>
        <v>17361590</v>
      </c>
      <c r="O56" s="693">
        <f t="shared" si="1"/>
        <v>1</v>
      </c>
      <c r="P56" s="1035">
        <f>+'P03 2024'!AA37</f>
        <v>17806759.881999999</v>
      </c>
      <c r="Q56" s="700">
        <f t="shared" si="21"/>
        <v>0</v>
      </c>
      <c r="R56" s="1017">
        <f t="shared" si="10"/>
        <v>0</v>
      </c>
      <c r="S56" s="674">
        <v>0</v>
      </c>
      <c r="T56" s="674">
        <v>0</v>
      </c>
      <c r="U56" s="674">
        <v>0</v>
      </c>
      <c r="V56" s="674">
        <v>0</v>
      </c>
      <c r="W56" s="1145">
        <v>0</v>
      </c>
      <c r="X56" s="675">
        <v>0</v>
      </c>
      <c r="Y56" s="675">
        <v>0</v>
      </c>
      <c r="Z56" s="629">
        <v>0</v>
      </c>
      <c r="AA56" s="629">
        <f>+'P03 2024'!DH17</f>
        <v>17089021</v>
      </c>
      <c r="AB56" s="629">
        <v>0</v>
      </c>
      <c r="AC56" s="629">
        <v>0</v>
      </c>
      <c r="AD56" s="629">
        <v>0</v>
      </c>
      <c r="AE56" s="629">
        <v>0</v>
      </c>
      <c r="AF56" s="709">
        <v>0</v>
      </c>
      <c r="AH56" s="1030"/>
      <c r="AI56" s="1030"/>
      <c r="AJ56" s="1030"/>
      <c r="AK56" s="1030"/>
      <c r="AL56" s="1030"/>
      <c r="AM56" s="1030"/>
      <c r="AN56" s="1030"/>
      <c r="AO56" s="1030"/>
    </row>
    <row r="57" spans="2:41" s="97" customFormat="1" ht="15" customHeight="1" x14ac:dyDescent="0.25">
      <c r="B57" s="964"/>
      <c r="C57" s="51"/>
      <c r="D57" s="209">
        <v>111</v>
      </c>
      <c r="E57" s="116"/>
      <c r="F57" s="132" t="s">
        <v>262</v>
      </c>
      <c r="G57" s="648" t="s">
        <v>926</v>
      </c>
      <c r="H57" s="241">
        <f>+'P03 2025'!H42</f>
        <v>9905707</v>
      </c>
      <c r="I57" s="241">
        <f>+'P03 2025'!Z48</f>
        <v>9905707</v>
      </c>
      <c r="J57" s="241">
        <f ca="1">SUMIF(S$6:$AF30,"ok",S57:AE57)</f>
        <v>0</v>
      </c>
      <c r="K57" s="522">
        <f t="shared" ca="1" si="4"/>
        <v>0</v>
      </c>
      <c r="L57" s="382">
        <f>+'P03 2025'!AB52</f>
        <v>0</v>
      </c>
      <c r="M57" s="522">
        <f t="shared" si="2"/>
        <v>0</v>
      </c>
      <c r="N57" s="381">
        <f>+I57-L57</f>
        <v>9905707</v>
      </c>
      <c r="O57" s="693">
        <f t="shared" si="1"/>
        <v>1</v>
      </c>
      <c r="P57" s="1035">
        <f>+'P03 2024'!AA38</f>
        <v>9312923.9739999995</v>
      </c>
      <c r="Q57" s="700">
        <f t="shared" si="21"/>
        <v>155678.39698399999</v>
      </c>
      <c r="R57" s="1017">
        <f t="shared" si="10"/>
        <v>1.6716382246717135E-2</v>
      </c>
      <c r="S57" s="674">
        <v>0</v>
      </c>
      <c r="T57" s="674">
        <v>0</v>
      </c>
      <c r="U57" s="674">
        <v>0</v>
      </c>
      <c r="V57" s="674">
        <f>+'P03 2024'!R10</f>
        <v>155678.39698399999</v>
      </c>
      <c r="W57" s="1145">
        <f>+'P03 2024'!AK14</f>
        <v>373715.65500000003</v>
      </c>
      <c r="X57" s="675">
        <f>+'P03 2024'!BD15</f>
        <v>1111984.031</v>
      </c>
      <c r="Y57" s="675">
        <f>+'P03 2024'!BW17</f>
        <v>1315989.963</v>
      </c>
      <c r="Z57" s="629">
        <f>+'P03 2024'!CP17</f>
        <v>1693761.22</v>
      </c>
      <c r="AA57" s="629">
        <f>+'P03 2024'!DH18</f>
        <v>514826.011</v>
      </c>
      <c r="AB57" s="713">
        <f>+'P03 2024'!EB15</f>
        <v>1277566.9480000001</v>
      </c>
      <c r="AC57" s="629">
        <f>+'P03 2024'!EV13</f>
        <v>20291.05</v>
      </c>
      <c r="AD57" s="629">
        <f>'P03 2024'!FP18</f>
        <v>65009.525000000001</v>
      </c>
      <c r="AE57" s="629">
        <f>+'P03 2024'!GI21</f>
        <v>40579.012999999999</v>
      </c>
      <c r="AF57" s="709">
        <f>+'P03 2024'!HA19</f>
        <v>2374420.1320000002</v>
      </c>
      <c r="AH57" s="1030"/>
      <c r="AI57" s="1030"/>
      <c r="AJ57" s="1030"/>
      <c r="AK57" s="1030"/>
      <c r="AL57" s="1030"/>
      <c r="AM57" s="1030"/>
      <c r="AN57" s="1030"/>
      <c r="AO57" s="1030"/>
    </row>
    <row r="58" spans="2:41" s="97" customFormat="1" ht="15" customHeight="1" x14ac:dyDescent="0.25">
      <c r="B58" s="1020"/>
      <c r="C58" s="714"/>
      <c r="D58" s="209">
        <v>112</v>
      </c>
      <c r="E58" s="715"/>
      <c r="F58" s="132" t="s">
        <v>849</v>
      </c>
      <c r="G58" s="648" t="s">
        <v>927</v>
      </c>
      <c r="H58" s="241">
        <f>+'P03 2025'!H43</f>
        <v>3995732</v>
      </c>
      <c r="I58" s="241">
        <f>+'P03 2025'!Z49</f>
        <v>3995732</v>
      </c>
      <c r="J58" s="241">
        <f ca="1">SUMIF(S$6:$AF31,"ok",S58:AE58)</f>
        <v>0</v>
      </c>
      <c r="K58" s="522">
        <f t="shared" ca="1" si="4"/>
        <v>0</v>
      </c>
      <c r="L58" s="382">
        <f>+'P03 2025'!AB54</f>
        <v>0</v>
      </c>
      <c r="M58" s="522">
        <f t="shared" si="2"/>
        <v>0</v>
      </c>
      <c r="N58" s="381">
        <f>+I58-L58</f>
        <v>3995732</v>
      </c>
      <c r="O58" s="693">
        <f t="shared" si="1"/>
        <v>1</v>
      </c>
      <c r="P58" s="1035">
        <f>+'P03 2024'!AA40</f>
        <v>4098186</v>
      </c>
      <c r="Q58" s="700">
        <f t="shared" si="21"/>
        <v>0</v>
      </c>
      <c r="R58" s="1017">
        <f t="shared" si="10"/>
        <v>0</v>
      </c>
      <c r="S58" s="674">
        <v>0</v>
      </c>
      <c r="T58" s="674">
        <v>0</v>
      </c>
      <c r="U58" s="674">
        <v>0</v>
      </c>
      <c r="V58" s="674">
        <v>0</v>
      </c>
      <c r="W58" s="1145">
        <v>0</v>
      </c>
      <c r="X58" s="675">
        <v>0</v>
      </c>
      <c r="Y58" s="675">
        <v>0</v>
      </c>
      <c r="Z58" s="629">
        <v>0</v>
      </c>
      <c r="AA58" s="629">
        <v>0</v>
      </c>
      <c r="AB58" s="629">
        <f>+'P03 2024'!EB16</f>
        <v>1241984</v>
      </c>
      <c r="AC58" s="629">
        <v>0</v>
      </c>
      <c r="AD58" s="629">
        <f>'P03 2024'!FP19</f>
        <v>345827.64299999998</v>
      </c>
      <c r="AE58" s="629">
        <v>0</v>
      </c>
      <c r="AF58" s="709">
        <f>+'P03 2024'!HA20</f>
        <v>2269318.12</v>
      </c>
      <c r="AH58" s="1030"/>
      <c r="AI58" s="1030"/>
      <c r="AJ58" s="1030"/>
      <c r="AK58" s="1030"/>
      <c r="AL58" s="1030"/>
      <c r="AM58" s="1030"/>
      <c r="AN58" s="1030"/>
      <c r="AO58" s="1030"/>
    </row>
    <row r="59" spans="2:41" s="97" customFormat="1" ht="15" customHeight="1" x14ac:dyDescent="0.25">
      <c r="B59" s="965">
        <v>34</v>
      </c>
      <c r="C59" s="49"/>
      <c r="D59" s="47"/>
      <c r="E59" s="117"/>
      <c r="F59" s="118"/>
      <c r="G59" s="618" t="s">
        <v>83</v>
      </c>
      <c r="H59" s="109">
        <f>+H60</f>
        <v>10.1</v>
      </c>
      <c r="I59" s="697">
        <f>+I60</f>
        <v>10.1</v>
      </c>
      <c r="J59" s="111">
        <f ca="1">SUMIF(S$6:$AF$6,"ok",S59:AE59)</f>
        <v>43933736.284999996</v>
      </c>
      <c r="K59" s="410">
        <v>1</v>
      </c>
      <c r="L59" s="109">
        <f>+L60</f>
        <v>43933736.284999996</v>
      </c>
      <c r="M59" s="410">
        <v>1</v>
      </c>
      <c r="N59" s="72">
        <f>+I59-L59</f>
        <v>-43933726.184999995</v>
      </c>
      <c r="O59" s="691">
        <v>1</v>
      </c>
      <c r="P59" s="701">
        <f>+P60</f>
        <v>10.5242</v>
      </c>
      <c r="Q59" s="701">
        <f>+Q60</f>
        <v>15917854.170326</v>
      </c>
      <c r="R59" s="520">
        <v>1</v>
      </c>
      <c r="S59" s="1174">
        <f>+S60</f>
        <v>43933736.284999996</v>
      </c>
      <c r="T59" s="196">
        <f>+T60</f>
        <v>15917854.170326</v>
      </c>
      <c r="U59" s="196">
        <v>0</v>
      </c>
      <c r="V59" s="110">
        <v>0</v>
      </c>
      <c r="W59" s="1146">
        <v>0</v>
      </c>
      <c r="X59" s="636">
        <v>0</v>
      </c>
      <c r="Y59" s="665">
        <f>+Y60</f>
        <v>0</v>
      </c>
      <c r="Z59" s="665">
        <v>0</v>
      </c>
      <c r="AA59" s="665">
        <v>0</v>
      </c>
      <c r="AB59" s="665">
        <v>0</v>
      </c>
      <c r="AC59" s="665">
        <v>0</v>
      </c>
      <c r="AD59" s="665"/>
      <c r="AE59" s="665">
        <v>0</v>
      </c>
      <c r="AF59" s="665">
        <v>0</v>
      </c>
      <c r="AG59" s="120"/>
      <c r="AH59" s="1030"/>
      <c r="AI59" s="1030"/>
      <c r="AJ59" s="1030"/>
      <c r="AK59" s="1030"/>
      <c r="AL59" s="1030"/>
      <c r="AM59" s="1030"/>
      <c r="AN59" s="1030"/>
      <c r="AO59" s="1030"/>
    </row>
    <row r="60" spans="2:41" s="97" customFormat="1" ht="15" hidden="1" customHeight="1" x14ac:dyDescent="0.25">
      <c r="B60" s="1156"/>
      <c r="C60" s="1157">
        <v>7</v>
      </c>
      <c r="D60" s="876"/>
      <c r="E60" s="1158"/>
      <c r="F60" s="1159" t="s">
        <v>203</v>
      </c>
      <c r="G60" s="1160" t="s">
        <v>127</v>
      </c>
      <c r="H60" s="1161">
        <f>+'P03 2025'!H44</f>
        <v>10.1</v>
      </c>
      <c r="I60" s="1161">
        <f>+'P03 2025'!Z50</f>
        <v>10.1</v>
      </c>
      <c r="J60" s="1161">
        <f ca="1">SUMIF(S$6:$AF$6,"ok",S60:AE60)</f>
        <v>43933736.284999996</v>
      </c>
      <c r="K60" s="1162">
        <v>1</v>
      </c>
      <c r="L60" s="1163">
        <f>+'P03 2025'!AB51</f>
        <v>43933736.284999996</v>
      </c>
      <c r="M60" s="1162">
        <v>1</v>
      </c>
      <c r="N60" s="1164">
        <f>+I60-L60</f>
        <v>-43933726.184999995</v>
      </c>
      <c r="O60" s="1165">
        <v>1</v>
      </c>
      <c r="P60" s="1166">
        <f>+'P03 2024'!AA41</f>
        <v>10.5242</v>
      </c>
      <c r="Q60" s="1166">
        <f>SUMIF($S$6:$AF$6,"SI",S60:AF60)</f>
        <v>15917854.170326</v>
      </c>
      <c r="R60" s="1168">
        <v>1</v>
      </c>
      <c r="S60" s="1170">
        <f>+'P03 2025'!J45</f>
        <v>43933736.284999996</v>
      </c>
      <c r="T60" s="1171">
        <f>+'P03 2024'!J38</f>
        <v>15917854.170326</v>
      </c>
      <c r="U60" s="1173">
        <v>0</v>
      </c>
      <c r="V60" s="1167">
        <v>0</v>
      </c>
      <c r="W60" s="1145">
        <v>0</v>
      </c>
      <c r="X60" s="675">
        <v>0</v>
      </c>
      <c r="Y60" s="709">
        <v>0</v>
      </c>
      <c r="Z60" s="629">
        <v>0</v>
      </c>
      <c r="AA60" s="629">
        <v>0</v>
      </c>
      <c r="AB60" s="629">
        <v>0</v>
      </c>
      <c r="AC60" s="629">
        <v>0</v>
      </c>
      <c r="AD60" s="629"/>
      <c r="AE60" s="629">
        <v>0</v>
      </c>
      <c r="AF60" s="629">
        <v>0</v>
      </c>
      <c r="AH60" s="1048"/>
      <c r="AI60" s="1049"/>
      <c r="AJ60" s="1049"/>
      <c r="AK60" s="1049"/>
      <c r="AL60" s="1048"/>
      <c r="AM60" s="1048"/>
      <c r="AN60" s="1048"/>
    </row>
    <row r="61" spans="2:41" s="97" customFormat="1" ht="15" hidden="1" customHeight="1" thickBot="1" x14ac:dyDescent="0.3">
      <c r="B61" s="1148">
        <v>35</v>
      </c>
      <c r="C61" s="1149"/>
      <c r="D61" s="874"/>
      <c r="E61" s="1150"/>
      <c r="F61" s="1151"/>
      <c r="G61" s="875" t="s">
        <v>124</v>
      </c>
      <c r="H61" s="881">
        <v>0</v>
      </c>
      <c r="I61" s="881">
        <v>0</v>
      </c>
      <c r="J61" s="881">
        <f ca="1">SUMIF(S$6:$AF$6,"ok",S61:AE61)</f>
        <v>0</v>
      </c>
      <c r="K61" s="1152" t="str">
        <f ca="1">IFERROR(J61/I61,"0,00%")</f>
        <v>0,00%</v>
      </c>
      <c r="L61" s="1153">
        <v>0</v>
      </c>
      <c r="M61" s="1152">
        <f t="shared" si="2"/>
        <v>0</v>
      </c>
      <c r="N61" s="1153">
        <f>+I61-L61</f>
        <v>0</v>
      </c>
      <c r="O61" s="1098">
        <f t="shared" si="1"/>
        <v>0</v>
      </c>
      <c r="P61" s="1154">
        <v>0</v>
      </c>
      <c r="Q61" s="1154">
        <f>SUMIF($S$6:$AF$6,"SI",S61:AF61)</f>
        <v>0</v>
      </c>
      <c r="R61" s="1169" t="str">
        <f t="shared" si="10"/>
        <v>0.00%</v>
      </c>
      <c r="S61" s="1172">
        <v>0</v>
      </c>
      <c r="T61" s="1155">
        <v>0</v>
      </c>
      <c r="U61" s="1172">
        <v>0</v>
      </c>
      <c r="V61" s="1155">
        <v>0</v>
      </c>
      <c r="W61" s="1146">
        <v>0</v>
      </c>
      <c r="X61" s="636">
        <v>0</v>
      </c>
      <c r="Y61" s="665">
        <v>0</v>
      </c>
      <c r="Z61" s="665">
        <v>0</v>
      </c>
      <c r="AA61" s="665"/>
      <c r="AB61" s="665">
        <v>0</v>
      </c>
      <c r="AC61" s="665">
        <v>0</v>
      </c>
      <c r="AD61" s="665"/>
      <c r="AE61" s="665">
        <v>0</v>
      </c>
      <c r="AF61" s="665">
        <v>0</v>
      </c>
      <c r="AH61" s="1048"/>
      <c r="AI61" s="1049"/>
      <c r="AJ61" s="1049"/>
      <c r="AK61" s="1049"/>
      <c r="AL61" s="1048"/>
      <c r="AM61" s="1048"/>
      <c r="AN61" s="1048"/>
    </row>
    <row r="62" spans="2:41" s="28" customFormat="1" ht="12.75" customHeight="1" x14ac:dyDescent="0.2">
      <c r="B62" s="172"/>
      <c r="C62" s="173"/>
      <c r="D62" s="319"/>
      <c r="E62" s="179"/>
      <c r="F62" s="179"/>
      <c r="H62" s="174"/>
      <c r="I62" s="174"/>
      <c r="J62" s="174"/>
      <c r="K62" s="525"/>
      <c r="L62" s="267"/>
      <c r="M62" s="530"/>
      <c r="N62" s="175"/>
      <c r="O62" s="176"/>
      <c r="P62" s="703"/>
      <c r="Q62" s="703"/>
      <c r="R62" s="533"/>
      <c r="S62" s="720"/>
      <c r="T62" s="177"/>
      <c r="U62" s="177"/>
      <c r="V62" s="178"/>
      <c r="W62" s="177"/>
      <c r="X62" s="177"/>
      <c r="Z62" s="177"/>
      <c r="AA62" s="177"/>
      <c r="AB62" s="177"/>
      <c r="AC62" s="177"/>
      <c r="AD62" s="177"/>
      <c r="AE62" s="177"/>
      <c r="AF62" s="177"/>
      <c r="AG62" s="177"/>
      <c r="AH62" s="1048"/>
      <c r="AI62" s="1049"/>
      <c r="AJ62" s="1049"/>
      <c r="AK62" s="1049"/>
      <c r="AL62" s="1048"/>
      <c r="AM62" s="1048"/>
      <c r="AN62" s="1048"/>
    </row>
    <row r="63" spans="2:41" x14ac:dyDescent="0.2">
      <c r="B63" s="1277" t="s">
        <v>1057</v>
      </c>
      <c r="C63" s="1277"/>
      <c r="D63" s="1277"/>
      <c r="E63" s="1277"/>
      <c r="F63" s="1277"/>
      <c r="G63" s="1277"/>
      <c r="H63" s="1277"/>
      <c r="I63" s="1277"/>
      <c r="J63" s="1277"/>
      <c r="K63" s="1277"/>
      <c r="L63" s="1277"/>
      <c r="M63" s="1277"/>
      <c r="N63" s="1277"/>
      <c r="O63" s="1277"/>
      <c r="P63" s="1277"/>
      <c r="Q63" s="1277"/>
      <c r="R63" s="1277"/>
      <c r="V63" s="168"/>
      <c r="AB63" s="69"/>
      <c r="AG63" s="120"/>
      <c r="AH63" s="1048"/>
      <c r="AI63" s="1049"/>
      <c r="AJ63" s="1049"/>
      <c r="AK63" s="1049"/>
      <c r="AL63" s="1048"/>
      <c r="AM63" s="1048"/>
      <c r="AN63" s="1048"/>
    </row>
    <row r="64" spans="2:41" ht="12.75" customHeight="1" x14ac:dyDescent="0.2">
      <c r="B64" s="1277"/>
      <c r="C64" s="1277"/>
      <c r="D64" s="1277"/>
      <c r="E64" s="1277"/>
      <c r="F64" s="1277"/>
      <c r="G64" s="1277"/>
      <c r="H64" s="1277"/>
      <c r="I64" s="1277"/>
      <c r="J64" s="1277"/>
      <c r="K64" s="1277"/>
      <c r="L64" s="1277"/>
      <c r="M64" s="1277"/>
      <c r="N64" s="1277"/>
      <c r="O64" s="1277"/>
      <c r="P64" s="1277"/>
      <c r="Q64" s="1277"/>
      <c r="R64" s="1277"/>
      <c r="V64" s="168"/>
      <c r="AB64" s="69"/>
      <c r="AG64" s="120"/>
      <c r="AH64" s="1048"/>
      <c r="AI64" s="1049"/>
      <c r="AJ64" s="1049"/>
      <c r="AK64" s="1049"/>
      <c r="AL64" s="1048"/>
      <c r="AM64" s="1048"/>
      <c r="AN64" s="1048"/>
    </row>
    <row r="65" spans="2:40" ht="12.75" customHeight="1" x14ac:dyDescent="0.2">
      <c r="B65" s="1277"/>
      <c r="C65" s="1277"/>
      <c r="D65" s="1277"/>
      <c r="E65" s="1277"/>
      <c r="F65" s="1277"/>
      <c r="G65" s="1277"/>
      <c r="H65" s="1277"/>
      <c r="I65" s="1277"/>
      <c r="J65" s="1277"/>
      <c r="K65" s="1277"/>
      <c r="L65" s="1277"/>
      <c r="M65" s="1277"/>
      <c r="N65" s="1277"/>
      <c r="O65" s="1277"/>
      <c r="P65" s="1277"/>
      <c r="Q65" s="1277"/>
      <c r="R65" s="1277"/>
      <c r="V65" s="168"/>
      <c r="AB65" s="69"/>
      <c r="AG65" s="120"/>
      <c r="AH65" s="1048"/>
      <c r="AI65" s="1049"/>
      <c r="AJ65" s="1049"/>
      <c r="AK65" s="1049"/>
      <c r="AL65" s="1048"/>
      <c r="AM65" s="1048"/>
      <c r="AN65" s="1048"/>
    </row>
    <row r="66" spans="2:40" ht="12.75" customHeight="1" x14ac:dyDescent="0.2">
      <c r="B66" s="1277"/>
      <c r="C66" s="1277"/>
      <c r="D66" s="1277"/>
      <c r="E66" s="1277"/>
      <c r="F66" s="1277"/>
      <c r="G66" s="1277"/>
      <c r="H66" s="1277"/>
      <c r="I66" s="1277"/>
      <c r="J66" s="1277"/>
      <c r="K66" s="1277"/>
      <c r="L66" s="1277"/>
      <c r="M66" s="1277"/>
      <c r="N66" s="1277"/>
      <c r="O66" s="1277"/>
      <c r="P66" s="1277"/>
      <c r="Q66" s="1277"/>
      <c r="R66" s="1277"/>
      <c r="V66" s="168"/>
      <c r="AB66" s="69"/>
      <c r="AG66" s="120"/>
      <c r="AH66" s="1030"/>
      <c r="AI66" s="1031"/>
      <c r="AJ66" s="1031"/>
      <c r="AK66" s="1031"/>
      <c r="AL66" s="1030"/>
      <c r="AM66" s="1030"/>
      <c r="AN66" s="1030"/>
    </row>
    <row r="67" spans="2:40" ht="12.75" customHeight="1" x14ac:dyDescent="0.2">
      <c r="K67" s="526"/>
      <c r="L67" s="15"/>
      <c r="N67" s="90"/>
      <c r="O67" s="150"/>
      <c r="V67" s="168"/>
      <c r="AB67" s="69"/>
      <c r="AG67" s="120"/>
      <c r="AH67" s="1030"/>
      <c r="AI67" s="1031"/>
      <c r="AJ67" s="1031"/>
      <c r="AK67" s="1031"/>
      <c r="AL67" s="1030"/>
      <c r="AM67" s="1030"/>
      <c r="AN67" s="1030"/>
    </row>
    <row r="68" spans="2:40" ht="12.75" customHeight="1" x14ac:dyDescent="0.2">
      <c r="K68" s="526"/>
      <c r="L68" s="15"/>
      <c r="N68" s="90"/>
      <c r="O68" s="150"/>
      <c r="V68" s="168"/>
      <c r="AB68" s="69"/>
      <c r="AG68" s="120"/>
      <c r="AH68" s="1030"/>
      <c r="AI68" s="1031"/>
      <c r="AJ68" s="1031"/>
      <c r="AK68" s="1031"/>
      <c r="AL68" s="1030"/>
      <c r="AM68" s="1030"/>
      <c r="AN68" s="1030"/>
    </row>
    <row r="69" spans="2:40" ht="12.75" customHeight="1" x14ac:dyDescent="0.2">
      <c r="K69" s="526"/>
      <c r="L69" s="15"/>
      <c r="N69" s="90"/>
      <c r="O69" s="150"/>
      <c r="V69" s="168"/>
      <c r="AB69" s="69"/>
      <c r="AG69" s="120"/>
      <c r="AH69" s="1030"/>
      <c r="AI69" s="1031"/>
      <c r="AJ69" s="1031"/>
      <c r="AK69" s="1031"/>
      <c r="AL69" s="1030"/>
      <c r="AM69" s="1030"/>
      <c r="AN69" s="1030"/>
    </row>
    <row r="70" spans="2:40" ht="13.5" customHeight="1" thickBot="1" x14ac:dyDescent="0.25">
      <c r="K70" s="526"/>
      <c r="L70" s="15"/>
      <c r="N70" s="90"/>
      <c r="O70" s="150"/>
      <c r="V70" s="168"/>
      <c r="AB70" s="69"/>
      <c r="AG70" s="120"/>
      <c r="AH70" s="1030"/>
      <c r="AI70" s="1031"/>
      <c r="AJ70" s="1031"/>
      <c r="AK70" s="1031"/>
      <c r="AL70" s="1030"/>
      <c r="AM70" s="1030"/>
      <c r="AN70" s="1030"/>
    </row>
    <row r="71" spans="2:40" ht="15.75" thickBot="1" x14ac:dyDescent="0.25">
      <c r="F71" s="1283" t="s">
        <v>1073</v>
      </c>
      <c r="G71" s="1284"/>
      <c r="H71" s="1284"/>
      <c r="I71" s="1284"/>
      <c r="J71" s="1285"/>
      <c r="N71" s="89"/>
      <c r="O71" s="149"/>
      <c r="V71" s="165"/>
      <c r="AG71" s="120"/>
      <c r="AH71" s="1030"/>
      <c r="AI71" s="1031"/>
      <c r="AJ71" s="1031"/>
      <c r="AK71" s="1031"/>
      <c r="AL71" s="1030"/>
      <c r="AM71" s="1030"/>
      <c r="AN71" s="1030"/>
    </row>
    <row r="72" spans="2:40" ht="13.5" thickBot="1" x14ac:dyDescent="0.25">
      <c r="G72" s="1293" t="s">
        <v>284</v>
      </c>
      <c r="H72" s="1293"/>
      <c r="I72" s="1293"/>
      <c r="J72" s="1293"/>
      <c r="N72" s="89"/>
      <c r="O72" s="149"/>
      <c r="V72" s="165"/>
      <c r="AG72" s="120"/>
      <c r="AH72" s="1030"/>
      <c r="AI72" s="1031"/>
      <c r="AJ72" s="1031"/>
      <c r="AK72" s="1031"/>
      <c r="AL72" s="1030"/>
      <c r="AM72" s="1030"/>
      <c r="AN72" s="1030"/>
    </row>
    <row r="73" spans="2:40" ht="15.75" thickBot="1" x14ac:dyDescent="0.25">
      <c r="F73" s="270" t="s">
        <v>643</v>
      </c>
      <c r="G73" s="1291" t="s">
        <v>818</v>
      </c>
      <c r="H73" s="1292"/>
      <c r="I73" s="164"/>
      <c r="J73" s="164"/>
      <c r="M73" s="719"/>
      <c r="N73" s="89"/>
      <c r="O73" s="149"/>
      <c r="V73" s="165"/>
      <c r="AG73" s="120"/>
      <c r="AH73" s="1030"/>
      <c r="AI73" s="1031"/>
      <c r="AJ73" s="1031"/>
      <c r="AK73" s="1031"/>
      <c r="AL73" s="1030"/>
      <c r="AM73" s="1030"/>
      <c r="AN73" s="1030"/>
    </row>
    <row r="74" spans="2:40" ht="14.45" customHeight="1" x14ac:dyDescent="0.2">
      <c r="F74" s="133"/>
      <c r="G74" s="272" t="s">
        <v>981</v>
      </c>
      <c r="H74" s="269">
        <v>95697781</v>
      </c>
      <c r="I74" s="284"/>
      <c r="J74" s="281"/>
      <c r="M74" s="719"/>
      <c r="N74" s="89"/>
      <c r="O74" s="149"/>
      <c r="V74" s="165"/>
      <c r="AG74" s="120"/>
      <c r="AH74" s="1030"/>
      <c r="AI74" s="1031"/>
      <c r="AJ74" s="1031"/>
      <c r="AK74" s="1031"/>
      <c r="AL74" s="1030"/>
      <c r="AM74" s="1030"/>
      <c r="AN74" s="1030"/>
    </row>
    <row r="75" spans="2:40" x14ac:dyDescent="0.2">
      <c r="F75" s="268"/>
      <c r="G75" s="271" t="s">
        <v>1048</v>
      </c>
      <c r="H75" s="869">
        <v>-9631854</v>
      </c>
      <c r="J75" s="281"/>
      <c r="M75" s="719"/>
      <c r="N75" s="89"/>
      <c r="O75" s="149"/>
      <c r="V75" s="165"/>
      <c r="AG75" s="120"/>
      <c r="AH75" s="1030"/>
      <c r="AI75" s="1031"/>
      <c r="AJ75" s="1031"/>
      <c r="AK75" s="1031"/>
      <c r="AL75" s="1030"/>
      <c r="AM75" s="1030"/>
      <c r="AN75" s="1030"/>
    </row>
    <row r="76" spans="2:40" ht="15" customHeight="1" thickBot="1" x14ac:dyDescent="0.25">
      <c r="F76" s="134"/>
      <c r="G76" s="307" t="s">
        <v>982</v>
      </c>
      <c r="H76" s="31">
        <f>+I43</f>
        <v>86065927</v>
      </c>
      <c r="J76" s="164"/>
      <c r="M76" s="719"/>
      <c r="N76" s="89"/>
      <c r="O76" s="149"/>
      <c r="V76" s="165"/>
      <c r="AG76" s="120"/>
      <c r="AH76" s="1031"/>
      <c r="AI76" s="1033"/>
      <c r="AJ76" s="1034"/>
      <c r="AK76" s="378"/>
    </row>
    <row r="77" spans="2:40" ht="13.5" thickBot="1" x14ac:dyDescent="0.25">
      <c r="G77" s="164"/>
      <c r="H77" s="164"/>
      <c r="I77" s="164"/>
      <c r="J77" s="281"/>
      <c r="M77" s="719"/>
      <c r="N77" s="89"/>
      <c r="O77" s="149"/>
      <c r="V77" s="165"/>
      <c r="AG77" s="120"/>
      <c r="AH77" s="1031"/>
      <c r="AI77" s="1033"/>
      <c r="AJ77" s="1034"/>
      <c r="AK77" s="378"/>
    </row>
    <row r="78" spans="2:40" ht="19.5" customHeight="1" thickBot="1" x14ac:dyDescent="0.25">
      <c r="D78" s="21"/>
      <c r="E78" s="17"/>
      <c r="F78" s="270" t="s">
        <v>643</v>
      </c>
      <c r="G78" s="1291" t="s">
        <v>820</v>
      </c>
      <c r="H78" s="1292"/>
      <c r="I78" s="91"/>
      <c r="J78" s="125"/>
      <c r="K78" s="527"/>
      <c r="L78" s="125"/>
      <c r="M78" s="527"/>
      <c r="N78" s="125"/>
      <c r="O78" s="151"/>
      <c r="P78" s="704"/>
      <c r="Q78" s="704"/>
      <c r="R78" s="527"/>
      <c r="S78" s="338"/>
      <c r="T78" s="125"/>
      <c r="U78" s="125"/>
      <c r="V78" s="169"/>
      <c r="W78" s="125"/>
      <c r="X78" s="125"/>
      <c r="Y78" s="125"/>
      <c r="Z78" s="125"/>
      <c r="AA78" s="125"/>
      <c r="AB78" s="125"/>
      <c r="AC78" s="125"/>
      <c r="AD78" s="125"/>
      <c r="AE78" s="125"/>
      <c r="AF78" s="125"/>
      <c r="AG78" s="120"/>
      <c r="AH78" s="1031"/>
      <c r="AI78" s="1033"/>
      <c r="AJ78" s="1034"/>
      <c r="AK78" s="378"/>
    </row>
    <row r="79" spans="2:40" x14ac:dyDescent="0.2">
      <c r="D79" s="21"/>
      <c r="E79" s="17"/>
      <c r="F79" s="133"/>
      <c r="G79" s="282" t="s">
        <v>152</v>
      </c>
      <c r="H79" s="283">
        <f>+G48:H48</f>
        <v>56114193</v>
      </c>
      <c r="I79" s="92"/>
      <c r="N79" s="89"/>
      <c r="O79" s="149"/>
      <c r="R79" s="534"/>
      <c r="S79" s="722"/>
      <c r="T79" s="23"/>
      <c r="U79" s="23"/>
      <c r="V79" s="165"/>
      <c r="W79" s="23"/>
      <c r="X79" s="23"/>
      <c r="AG79" s="120"/>
      <c r="AH79" s="1031"/>
      <c r="AI79" s="1033"/>
      <c r="AJ79" s="1034"/>
      <c r="AK79" s="378"/>
    </row>
    <row r="80" spans="2:40" ht="13.5" thickBot="1" x14ac:dyDescent="0.25">
      <c r="D80" s="21"/>
      <c r="E80" s="17"/>
      <c r="F80" s="134"/>
      <c r="G80" s="307" t="s">
        <v>511</v>
      </c>
      <c r="H80" s="308">
        <f>+I48</f>
        <v>56114193</v>
      </c>
      <c r="N80" s="89"/>
      <c r="O80" s="149"/>
      <c r="R80" s="534"/>
      <c r="S80" s="722"/>
      <c r="T80" s="23"/>
      <c r="U80" s="23"/>
      <c r="V80" s="165"/>
      <c r="W80" s="23"/>
      <c r="X80" s="23"/>
      <c r="AG80" s="120"/>
      <c r="AH80" s="1031"/>
      <c r="AI80" s="1033"/>
      <c r="AJ80" s="1034"/>
      <c r="AK80" s="378"/>
    </row>
    <row r="81" spans="4:37" ht="13.5" thickBot="1" x14ac:dyDescent="0.25">
      <c r="D81" s="21"/>
      <c r="E81" s="17"/>
      <c r="K81" s="528"/>
      <c r="N81" s="89"/>
      <c r="O81" s="149"/>
      <c r="V81" s="165"/>
      <c r="AG81" s="120"/>
      <c r="AH81" s="1031"/>
      <c r="AI81" s="1033"/>
      <c r="AJ81" s="1034"/>
      <c r="AK81" s="378"/>
    </row>
    <row r="82" spans="4:37" ht="15.75" thickBot="1" x14ac:dyDescent="0.3">
      <c r="F82" s="1288" t="s">
        <v>819</v>
      </c>
      <c r="G82" s="1289"/>
      <c r="H82" s="1289"/>
      <c r="I82" s="1290"/>
      <c r="AG82" s="120"/>
      <c r="AH82" s="1031"/>
      <c r="AI82" s="1033"/>
      <c r="AJ82" s="1034"/>
      <c r="AK82" s="378"/>
    </row>
    <row r="83" spans="4:37" ht="31.5" customHeight="1" x14ac:dyDescent="0.2">
      <c r="F83" s="1181" t="s">
        <v>701</v>
      </c>
      <c r="G83" s="1188" t="s">
        <v>693</v>
      </c>
      <c r="H83" s="264" t="s">
        <v>699</v>
      </c>
      <c r="I83" s="189" t="s">
        <v>700</v>
      </c>
      <c r="AG83" s="120"/>
      <c r="AH83" s="725"/>
      <c r="AI83" s="718"/>
      <c r="AJ83" s="729"/>
    </row>
    <row r="84" spans="4:37" x14ac:dyDescent="0.2">
      <c r="F84" s="1182" t="str">
        <f>+F44</f>
        <v>33.03.005.001</v>
      </c>
      <c r="G84" s="102" t="s">
        <v>618</v>
      </c>
      <c r="H84" s="265">
        <f>+I44</f>
        <v>44226748</v>
      </c>
      <c r="I84" s="190">
        <f ca="1">+J44</f>
        <v>0</v>
      </c>
      <c r="AG84" s="120"/>
      <c r="AH84" s="725"/>
      <c r="AI84" s="718"/>
      <c r="AJ84" s="729"/>
    </row>
    <row r="85" spans="4:37" x14ac:dyDescent="0.2">
      <c r="F85" s="1182" t="str">
        <f>+F45</f>
        <v>33.03.005.002</v>
      </c>
      <c r="G85" s="102" t="s">
        <v>619</v>
      </c>
      <c r="H85" s="265">
        <f>+I45</f>
        <v>23589916</v>
      </c>
      <c r="I85" s="190">
        <f t="shared" ref="H85:I87" ca="1" si="23">+J45</f>
        <v>107808.223</v>
      </c>
      <c r="AG85" s="120"/>
      <c r="AH85" s="725"/>
      <c r="AI85" s="718"/>
      <c r="AJ85" s="729"/>
    </row>
    <row r="86" spans="4:37" x14ac:dyDescent="0.2">
      <c r="F86" s="1182" t="str">
        <f>+F46</f>
        <v>33.03.005.003</v>
      </c>
      <c r="G86" s="102" t="s">
        <v>620</v>
      </c>
      <c r="H86" s="265">
        <f>+I46</f>
        <v>17949263</v>
      </c>
      <c r="I86" s="190">
        <f t="shared" ca="1" si="23"/>
        <v>11026865.968</v>
      </c>
      <c r="AG86" s="120"/>
      <c r="AH86" s="725"/>
      <c r="AI86" s="718"/>
      <c r="AJ86" s="729"/>
    </row>
    <row r="87" spans="4:37" ht="13.5" thickBot="1" x14ac:dyDescent="0.25">
      <c r="F87" s="1183" t="str">
        <f>+F47</f>
        <v>33.03.005.008</v>
      </c>
      <c r="G87" s="103" t="str">
        <f>+G47</f>
        <v>Emergencia SPD (PMU)</v>
      </c>
      <c r="H87" s="266">
        <f t="shared" si="23"/>
        <v>300000</v>
      </c>
      <c r="I87" s="191">
        <f t="shared" ca="1" si="23"/>
        <v>0</v>
      </c>
      <c r="AG87" s="120"/>
      <c r="AH87" s="725"/>
      <c r="AI87" s="718"/>
      <c r="AJ87" s="729"/>
    </row>
    <row r="88" spans="4:37" ht="13.5" thickBot="1" x14ac:dyDescent="0.25">
      <c r="F88" s="1286" t="s">
        <v>408</v>
      </c>
      <c r="G88" s="1294"/>
      <c r="H88" s="204">
        <f>+SUM(H84:H87)</f>
        <v>86065927</v>
      </c>
      <c r="I88" s="205">
        <f ca="1">+SUM(I84:I87)</f>
        <v>11134674.191</v>
      </c>
      <c r="AG88" s="120"/>
      <c r="AH88" s="725"/>
      <c r="AI88" s="718"/>
      <c r="AJ88" s="729"/>
    </row>
    <row r="89" spans="4:37" ht="35.25" customHeight="1" thickBot="1" x14ac:dyDescent="0.25">
      <c r="F89" s="135" t="s">
        <v>701</v>
      </c>
      <c r="G89" s="100" t="s">
        <v>694</v>
      </c>
      <c r="H89" s="250" t="s">
        <v>699</v>
      </c>
      <c r="I89" s="253" t="s">
        <v>700</v>
      </c>
      <c r="K89" s="529"/>
      <c r="L89" s="75"/>
      <c r="M89" s="531"/>
      <c r="AG89" s="120"/>
      <c r="AH89" s="725"/>
      <c r="AI89" s="718"/>
      <c r="AJ89" s="729"/>
    </row>
    <row r="90" spans="4:37" x14ac:dyDescent="0.2">
      <c r="F90" s="136" t="str">
        <f t="shared" ref="F90:F95" si="24">+F49</f>
        <v>33.03.006.001</v>
      </c>
      <c r="G90" s="101" t="s">
        <v>621</v>
      </c>
      <c r="H90" s="251">
        <f t="shared" ref="H90:H95" si="25">+I49</f>
        <v>6527670</v>
      </c>
      <c r="I90" s="254">
        <f t="shared" ref="I90:I95" ca="1" si="26">+J49</f>
        <v>16805</v>
      </c>
      <c r="AG90" s="120"/>
      <c r="AH90" s="725"/>
      <c r="AI90" s="718"/>
      <c r="AJ90" s="729"/>
    </row>
    <row r="91" spans="4:37" x14ac:dyDescent="0.2">
      <c r="F91" s="136" t="str">
        <f t="shared" si="24"/>
        <v>33.03.006.002</v>
      </c>
      <c r="G91" s="102" t="s">
        <v>622</v>
      </c>
      <c r="H91" s="251">
        <f t="shared" si="25"/>
        <v>5360526</v>
      </c>
      <c r="I91" s="254">
        <f t="shared" ca="1" si="26"/>
        <v>0</v>
      </c>
      <c r="AG91" s="120"/>
      <c r="AH91" s="725"/>
      <c r="AI91" s="718"/>
      <c r="AJ91" s="729"/>
    </row>
    <row r="92" spans="4:37" x14ac:dyDescent="0.2">
      <c r="F92" s="136" t="str">
        <f t="shared" si="24"/>
        <v>33.03.006.003</v>
      </c>
      <c r="G92" s="102" t="s">
        <v>623</v>
      </c>
      <c r="H92" s="251">
        <f t="shared" si="25"/>
        <v>2440674</v>
      </c>
      <c r="I92" s="254">
        <f t="shared" ca="1" si="26"/>
        <v>10000</v>
      </c>
      <c r="AG92" s="120"/>
      <c r="AH92" s="725"/>
      <c r="AI92" s="718"/>
      <c r="AJ92" s="729"/>
    </row>
    <row r="93" spans="4:37" x14ac:dyDescent="0.2">
      <c r="F93" s="136" t="str">
        <f t="shared" si="24"/>
        <v>33.03.006.004</v>
      </c>
      <c r="G93" s="102" t="s">
        <v>624</v>
      </c>
      <c r="H93" s="251">
        <f t="shared" si="25"/>
        <v>2266492</v>
      </c>
      <c r="I93" s="254">
        <f t="shared" ca="1" si="26"/>
        <v>0</v>
      </c>
      <c r="AG93" s="120"/>
    </row>
    <row r="94" spans="4:37" x14ac:dyDescent="0.2">
      <c r="F94" s="136" t="str">
        <f t="shared" si="24"/>
        <v>33.03.006.005</v>
      </c>
      <c r="G94" s="102" t="s">
        <v>625</v>
      </c>
      <c r="H94" s="251">
        <f t="shared" si="25"/>
        <v>8048156</v>
      </c>
      <c r="I94" s="254">
        <f t="shared" ca="1" si="26"/>
        <v>0</v>
      </c>
    </row>
    <row r="95" spans="4:37" ht="13.5" thickBot="1" x14ac:dyDescent="0.25">
      <c r="F95" s="263" t="str">
        <f t="shared" si="24"/>
        <v>33.03.006.007</v>
      </c>
      <c r="G95" s="103" t="s">
        <v>626</v>
      </c>
      <c r="H95" s="252">
        <f t="shared" si="25"/>
        <v>31470675</v>
      </c>
      <c r="I95" s="255">
        <f t="shared" ca="1" si="26"/>
        <v>0</v>
      </c>
    </row>
    <row r="96" spans="4:37" ht="13.5" thickBot="1" x14ac:dyDescent="0.25">
      <c r="F96" s="1295" t="s">
        <v>408</v>
      </c>
      <c r="G96" s="1296"/>
      <c r="H96" s="98">
        <f>+SUM(H90:H95)</f>
        <v>56114193</v>
      </c>
      <c r="I96" s="99">
        <f ca="1">+SUM(I90:I95)</f>
        <v>26805</v>
      </c>
    </row>
    <row r="97" spans="6:9" ht="33" customHeight="1" thickBot="1" x14ac:dyDescent="0.25">
      <c r="F97" s="1186" t="s">
        <v>701</v>
      </c>
      <c r="G97" s="1184" t="s">
        <v>151</v>
      </c>
      <c r="H97" s="104" t="s">
        <v>699</v>
      </c>
      <c r="I97" s="253" t="s">
        <v>700</v>
      </c>
    </row>
    <row r="98" spans="6:9" ht="13.5" thickBot="1" x14ac:dyDescent="0.25">
      <c r="F98" s="1187" t="str">
        <f>+F55</f>
        <v>33.03.100</v>
      </c>
      <c r="G98" s="1185" t="s">
        <v>627</v>
      </c>
      <c r="H98" s="105">
        <f>+I55</f>
        <v>9562068</v>
      </c>
      <c r="I98" s="254">
        <f ca="1">+J55</f>
        <v>2400929.7030000002</v>
      </c>
    </row>
    <row r="99" spans="6:9" ht="13.5" thickBot="1" x14ac:dyDescent="0.25">
      <c r="F99" s="1286" t="s">
        <v>408</v>
      </c>
      <c r="G99" s="1287"/>
      <c r="H99" s="106">
        <f>+H98</f>
        <v>9562068</v>
      </c>
      <c r="I99" s="256">
        <f ca="1">+I98</f>
        <v>2400929.7030000002</v>
      </c>
    </row>
  </sheetData>
  <mergeCells count="22">
    <mergeCell ref="B63:R66"/>
    <mergeCell ref="F71:J71"/>
    <mergeCell ref="F99:G99"/>
    <mergeCell ref="F82:I82"/>
    <mergeCell ref="G78:H78"/>
    <mergeCell ref="G72:J72"/>
    <mergeCell ref="F88:G88"/>
    <mergeCell ref="F96:G96"/>
    <mergeCell ref="G73:H73"/>
    <mergeCell ref="B4:R4"/>
    <mergeCell ref="B7:R7"/>
    <mergeCell ref="P8:R8"/>
    <mergeCell ref="B8:G10"/>
    <mergeCell ref="H8:O8"/>
    <mergeCell ref="U9:V9"/>
    <mergeCell ref="U8:V8"/>
    <mergeCell ref="U7:V7"/>
    <mergeCell ref="U4:V4"/>
    <mergeCell ref="S4:T4"/>
    <mergeCell ref="S7:T7"/>
    <mergeCell ref="S8:T8"/>
    <mergeCell ref="S9:T9"/>
  </mergeCells>
  <phoneticPr fontId="24" type="noConversion"/>
  <conditionalFormatting sqref="H29:H30">
    <cfRule type="cellIs" dxfId="18" priority="72" operator="equal">
      <formula>"·¡$S$$P$16"</formula>
    </cfRule>
  </conditionalFormatting>
  <conditionalFormatting sqref="H36:H37">
    <cfRule type="cellIs" dxfId="17" priority="68" operator="equal">
      <formula>"·¡$S$$P$16"</formula>
    </cfRule>
  </conditionalFormatting>
  <conditionalFormatting sqref="H32:I32 H34:I34">
    <cfRule type="cellIs" dxfId="16" priority="29" operator="equal">
      <formula>"·¡$S$$P$16"</formula>
    </cfRule>
  </conditionalFormatting>
  <conditionalFormatting sqref="I16 H16:H27 H44:I47 H49:I54">
    <cfRule type="cellIs" dxfId="15" priority="104" operator="equal">
      <formula>"·¡$S$$P$16"</formula>
    </cfRule>
  </conditionalFormatting>
  <conditionalFormatting sqref="I36">
    <cfRule type="cellIs" dxfId="14" priority="4" operator="equal">
      <formula>"·¡$S$$P$16"</formula>
    </cfRule>
  </conditionalFormatting>
  <conditionalFormatting sqref="J29:J30">
    <cfRule type="cellIs" dxfId="13" priority="1" operator="equal">
      <formula>"·¡$S$$P$16"</formula>
    </cfRule>
  </conditionalFormatting>
  <conditionalFormatting sqref="L16:L27">
    <cfRule type="cellIs" dxfId="12" priority="3" operator="equal">
      <formula>"·¡$S$$P$16"</formula>
    </cfRule>
  </conditionalFormatting>
  <printOptions horizontalCentered="1"/>
  <pageMargins left="1" right="1" top="1" bottom="1" header="0.5" footer="0.5"/>
  <pageSetup paperSize="5" scale="40" fitToWidth="0" orientation="landscape" r:id="rId1"/>
  <ignoredErrors>
    <ignoredError sqref="K14:K16 K12:K13 K11 T13 T14 AB16 Y12:Y13 Y14 AB11 V62 AB12:AB13 AB15 AB14 Z62 T15 M11 T12 W62 W13 W14 W15 W12 X62 AA62 AB62 AC12:AC13 AC15 AC14 AC62 H30 H61 H49 H48 H46 H41 H60 H59 S59 S42 H34 H31 S31 H44 H58 H37:J37 H35:J35 H47 H38 I43:J43 H57 S33 S34 S39 S38 S60 S58 S41 S30 S35 S32 S36:T36 S37 S40 S57 S43 S44 S45 S46 S47 S48 S49 S50 S51 S52 S53 S54 S55 S56 S61 J59 J48 H42 J31 H32 J32 H33 J33 J34 J38 H39 J39 H40 J40 J41 J61 J45 K24 H25 L13:M13 M14 M12 M15 M16 L16 L12 L14 L22:L23 K25 H36 J36 J44 J46 J47 J49 H50 J50 H51 J51 H52 J52 H53 J53 H54 J54 H55 J55 H56 J56 J57 J58 J60 M24:M25 O11:R11 O12:R12 Q61 Q14:R14 O13:R13 O14 R15 O16:P16 O15 R16 N12 N24:R25 N16 N15 P15:Q15 N14 P14 N13 N20 P29 P21:P23 N17 P17 N18 P18 N19 P19 P20 R60 R59 N26:N27 P26:R27" formula="1"/>
    <ignoredError sqref="AC11 Y62 Z11:AA16 Y15:Y16 X12:X16 AD12:AD14 K62:R62 W17:AB23 K17:K23 AD42:AD58 W29:AC61 W11:Y11 T28:T35 T37:T62 K31:K58 I61 I38:I41 I31:I34 I42:J42 J30:K30 I48 I59 K61:M61 AC16:AC23 M21:M23 K29:M29 K28:M28 T11 T17:T23 V12 V15 V14 V13 V28:V61 V17:V23 M17 M18 M19 M20 W28 Y28:AC28 M59 L47:L48 L59 L37:L43 M30:M58 L31:L35 P48 P31:P34 P38:P43 O30:O58 Q30:Q49 P59:Q59 N30:N43 N45 N47:N60 Q60 Q56 Q58 P37 P35 Q57 Q50 Q51 Q52 Q53 Q54 Q55 O20 O19 O18 O17 N61 N28:R28 N21:O23 N29 R30:R49 O29 O61:P61 R50:R58 R61 R17:R23 R29 O60:P60 N46 N44 P49 P54 P53 P52 P51 P50 P55 P36 P44:P47 P58 P56 P57 P30 O59 Q29 Q16:Q23" formula="1" unlockedFormula="1"/>
    <ignoredError sqref="G87 F84:F87 F90:F95 F98 AD11 AD15 T63 H84:I99 AE11:AE15 AE28:AF61 AD59:AD61 AD28:AD41 I62:J62 I28:I29 S11 AD17:AE23 AF11:AF23 U11:V11 U16:V16 U13 U14 U15 U12 V24 U17:U23 U28:U61 L56:L58 L52:L53 L45:L46 L30 L60:M60 L44 L36 L55 L50 L51 L54 L49 V25" unlockedFormula="1"/>
    <ignoredError sqref="C39 D3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tabColor rgb="FF00B050"/>
    <pageSetUpPr fitToPage="1"/>
  </sheetPr>
  <dimension ref="A1:AQ86"/>
  <sheetViews>
    <sheetView showGridLines="0" zoomScale="70" zoomScaleNormal="70" workbookViewId="0">
      <pane ySplit="5" topLeftCell="A6" activePane="bottomLeft" state="frozen"/>
      <selection pane="bottomLeft" activeCell="B6" sqref="B6:G8"/>
    </sheetView>
  </sheetViews>
  <sheetFormatPr baseColWidth="10" defaultColWidth="11.42578125" defaultRowHeight="12.75" x14ac:dyDescent="0.2"/>
  <cols>
    <col min="1" max="1" width="4.42578125" style="86" customWidth="1"/>
    <col min="2" max="2" width="6.28515625" style="4" bestFit="1" customWidth="1"/>
    <col min="3" max="3" width="5.140625" style="5" customWidth="1"/>
    <col min="4" max="4" width="6.7109375" style="330" customWidth="1"/>
    <col min="5" max="5" width="9.7109375" style="6" hidden="1" customWidth="1"/>
    <col min="6" max="6" width="13.5703125" style="147" hidden="1" customWidth="1"/>
    <col min="7" max="7" width="40.7109375" style="1" customWidth="1"/>
    <col min="8" max="8" width="23.7109375" style="3" customWidth="1"/>
    <col min="9" max="10" width="22.28515625" style="3" customWidth="1"/>
    <col min="11" max="11" width="22.28515625" style="155" customWidth="1"/>
    <col min="12" max="12" width="22.28515625" style="3" hidden="1" customWidth="1"/>
    <col min="13" max="13" width="22.28515625" style="130" hidden="1" customWidth="1"/>
    <col min="14" max="14" width="22.28515625" style="3" hidden="1" customWidth="1"/>
    <col min="15" max="15" width="22.28515625" style="130" hidden="1" customWidth="1"/>
    <col min="16" max="16" width="23.140625" style="325" customWidth="1"/>
    <col min="17" max="17" width="23.140625" style="3" customWidth="1"/>
    <col min="18" max="18" width="23.140625" style="153" customWidth="1"/>
    <col min="19" max="19" width="14.7109375" style="153" hidden="1" customWidth="1"/>
    <col min="20" max="22" width="16.7109375" style="153" hidden="1" customWidth="1"/>
    <col min="23" max="25" width="19.7109375" style="3" hidden="1" customWidth="1"/>
    <col min="26" max="26" width="19.85546875" style="3" hidden="1" customWidth="1"/>
    <col min="27" max="32" width="19.7109375" style="3" hidden="1" customWidth="1"/>
    <col min="33" max="33" width="5.5703125" style="61" customWidth="1"/>
    <col min="34" max="34" width="10.5703125" style="312" customWidth="1"/>
    <col min="35" max="35" width="39.28515625" style="312" customWidth="1"/>
    <col min="36" max="36" width="15.85546875" style="1" bestFit="1" customWidth="1"/>
    <col min="37" max="16384" width="11.42578125" style="1"/>
  </cols>
  <sheetData>
    <row r="1" spans="1:43" customFormat="1" ht="15" customHeight="1" x14ac:dyDescent="0.25">
      <c r="D1" s="300"/>
      <c r="P1" s="207"/>
      <c r="Q1" s="207"/>
      <c r="AH1" s="257"/>
      <c r="AI1" s="257"/>
    </row>
    <row r="2" spans="1:43" s="108" customFormat="1" ht="27" customHeight="1" x14ac:dyDescent="0.25">
      <c r="A2" s="107"/>
      <c r="B2" s="1269" t="s">
        <v>278</v>
      </c>
      <c r="C2" s="1269"/>
      <c r="D2" s="1269"/>
      <c r="E2" s="1269"/>
      <c r="F2" s="1269"/>
      <c r="G2" s="1269"/>
      <c r="H2" s="1269"/>
      <c r="I2" s="1269"/>
      <c r="J2" s="1269"/>
      <c r="K2" s="1269"/>
      <c r="L2" s="1269"/>
      <c r="M2" s="1269"/>
      <c r="N2" s="1269"/>
      <c r="O2" s="1269"/>
      <c r="P2" s="1269"/>
      <c r="Q2" s="1269"/>
      <c r="R2" s="1269"/>
      <c r="S2" s="1269"/>
      <c r="T2" s="1269"/>
      <c r="U2" s="1269"/>
      <c r="V2" s="1269"/>
      <c r="W2" s="941"/>
      <c r="X2" s="682"/>
      <c r="Y2" s="682"/>
      <c r="Z2" s="682"/>
      <c r="AA2" s="682"/>
      <c r="AB2" s="682"/>
      <c r="AC2" s="682"/>
      <c r="AD2" s="682"/>
      <c r="AE2" s="682"/>
      <c r="AF2" s="682"/>
      <c r="AG2" s="161"/>
      <c r="AH2" s="310"/>
      <c r="AI2" s="310"/>
    </row>
    <row r="3" spans="1:43" s="164" customFormat="1" ht="27" hidden="1" customHeight="1" x14ac:dyDescent="0.2">
      <c r="A3" s="206"/>
      <c r="B3" s="1231"/>
      <c r="C3" s="1231"/>
      <c r="D3" s="1232"/>
      <c r="E3" s="1231"/>
      <c r="F3" s="1231"/>
      <c r="G3" s="1231"/>
      <c r="H3" s="1231"/>
      <c r="I3" s="1231"/>
      <c r="J3" s="1231"/>
      <c r="K3" s="1231"/>
      <c r="L3" s="1231"/>
      <c r="M3" s="1231"/>
      <c r="N3" s="1231"/>
      <c r="O3" s="1231"/>
      <c r="P3" s="826"/>
      <c r="Q3" s="826"/>
      <c r="R3" s="1231"/>
      <c r="S3" s="1233" t="s">
        <v>266</v>
      </c>
      <c r="T3" s="1233" t="s">
        <v>126</v>
      </c>
      <c r="U3" s="1233" t="s">
        <v>266</v>
      </c>
      <c r="V3" s="1233" t="s">
        <v>126</v>
      </c>
      <c r="W3" s="170"/>
      <c r="X3" s="170"/>
      <c r="Y3" s="170"/>
      <c r="Z3" s="170"/>
      <c r="AA3" s="170"/>
      <c r="AB3" s="170"/>
      <c r="AC3" s="170"/>
      <c r="AD3" s="170"/>
      <c r="AE3" s="170"/>
      <c r="AF3" s="773"/>
      <c r="AG3" s="199"/>
      <c r="AH3" s="311"/>
      <c r="AI3" s="311"/>
    </row>
    <row r="4" spans="1:43" s="22" customFormat="1" ht="27" hidden="1" customHeight="1" x14ac:dyDescent="0.2">
      <c r="A4" s="87"/>
      <c r="B4" s="1234"/>
      <c r="C4" s="1234"/>
      <c r="D4" s="1232"/>
      <c r="E4" s="1234"/>
      <c r="F4" s="1234"/>
      <c r="G4" s="1234"/>
      <c r="H4" s="1234"/>
      <c r="I4" s="1234"/>
      <c r="J4" s="1234"/>
      <c r="K4" s="1235"/>
      <c r="L4" s="1234"/>
      <c r="M4" s="1236"/>
      <c r="N4" s="1234"/>
      <c r="O4" s="1236"/>
      <c r="P4" s="1237"/>
      <c r="Q4" s="1238"/>
      <c r="R4" s="1236"/>
      <c r="S4" s="1236"/>
      <c r="T4" s="1236"/>
      <c r="U4" s="1236"/>
      <c r="V4" s="1236"/>
      <c r="W4" s="774"/>
      <c r="X4" s="774"/>
      <c r="Y4" s="774"/>
      <c r="Z4" s="774"/>
      <c r="AA4" s="774"/>
      <c r="AB4" s="774"/>
      <c r="AC4" s="774"/>
      <c r="AD4" s="774"/>
      <c r="AE4" s="774"/>
      <c r="AF4" s="775"/>
      <c r="AG4" s="1"/>
      <c r="AH4" s="312"/>
      <c r="AI4" s="312"/>
      <c r="AJ4" s="1"/>
      <c r="AK4" s="1"/>
      <c r="AL4" s="1"/>
      <c r="AM4" s="1"/>
      <c r="AN4" s="1"/>
      <c r="AO4" s="1"/>
      <c r="AP4" s="1"/>
      <c r="AQ4" s="1"/>
    </row>
    <row r="5" spans="1:43" s="108" customFormat="1" ht="27" customHeight="1" x14ac:dyDescent="0.25">
      <c r="A5" s="107"/>
      <c r="B5" s="1269" t="s">
        <v>242</v>
      </c>
      <c r="C5" s="1269"/>
      <c r="D5" s="1269"/>
      <c r="E5" s="1269"/>
      <c r="F5" s="1269"/>
      <c r="G5" s="1269"/>
      <c r="H5" s="1269"/>
      <c r="I5" s="1269"/>
      <c r="J5" s="1269"/>
      <c r="K5" s="1269"/>
      <c r="L5" s="1269"/>
      <c r="M5" s="1269"/>
      <c r="N5" s="1269"/>
      <c r="O5" s="1269"/>
      <c r="P5" s="1269"/>
      <c r="Q5" s="1269"/>
      <c r="R5" s="1269"/>
      <c r="S5" s="1269"/>
      <c r="T5" s="1269"/>
      <c r="U5" s="1269"/>
      <c r="V5" s="1269"/>
      <c r="W5" s="941"/>
      <c r="X5" s="682"/>
      <c r="Y5" s="682"/>
      <c r="Z5" s="682"/>
      <c r="AA5" s="682"/>
      <c r="AB5" s="682"/>
      <c r="AC5" s="682"/>
      <c r="AD5" s="682"/>
      <c r="AE5" s="682"/>
      <c r="AF5" s="682"/>
      <c r="AG5" s="161"/>
      <c r="AH5" s="310"/>
      <c r="AI5" s="310"/>
    </row>
    <row r="6" spans="1:43" s="108" customFormat="1" ht="27" customHeight="1" x14ac:dyDescent="0.25">
      <c r="A6" s="107"/>
      <c r="B6" s="1297" t="s">
        <v>276</v>
      </c>
      <c r="C6" s="1297"/>
      <c r="D6" s="1297"/>
      <c r="E6" s="1297"/>
      <c r="F6" s="1297"/>
      <c r="G6" s="1297"/>
      <c r="H6" s="1272" t="s">
        <v>1012</v>
      </c>
      <c r="I6" s="1272"/>
      <c r="J6" s="1272"/>
      <c r="K6" s="1272"/>
      <c r="L6" s="1272"/>
      <c r="M6" s="1272"/>
      <c r="N6" s="1272"/>
      <c r="O6" s="1272"/>
      <c r="P6" s="1273" t="s">
        <v>878</v>
      </c>
      <c r="Q6" s="1273"/>
      <c r="R6" s="1273"/>
      <c r="S6" s="1275"/>
      <c r="T6" s="1275"/>
      <c r="U6" s="1275"/>
      <c r="V6" s="1275"/>
      <c r="W6" s="880"/>
      <c r="X6" s="535"/>
      <c r="Y6" s="535"/>
      <c r="Z6" s="535"/>
      <c r="AA6" s="535"/>
      <c r="AB6" s="535"/>
      <c r="AC6" s="535"/>
      <c r="AD6" s="535"/>
      <c r="AE6" s="535"/>
      <c r="AF6" s="535"/>
      <c r="AG6" s="161"/>
      <c r="AH6" s="310"/>
    </row>
    <row r="7" spans="1:43" s="108" customFormat="1" ht="27" customHeight="1" x14ac:dyDescent="0.25">
      <c r="A7" s="107"/>
      <c r="B7" s="1297"/>
      <c r="C7" s="1297"/>
      <c r="D7" s="1297"/>
      <c r="E7" s="1297"/>
      <c r="F7" s="1297"/>
      <c r="G7" s="1297"/>
      <c r="H7" s="637" t="s">
        <v>129</v>
      </c>
      <c r="I7" s="637" t="s">
        <v>130</v>
      </c>
      <c r="J7" s="637" t="s">
        <v>131</v>
      </c>
      <c r="K7" s="683" t="s">
        <v>132</v>
      </c>
      <c r="L7" s="637" t="s">
        <v>705</v>
      </c>
      <c r="M7" s="683" t="s">
        <v>940</v>
      </c>
      <c r="N7" s="637" t="s">
        <v>706</v>
      </c>
      <c r="O7" s="683" t="s">
        <v>941</v>
      </c>
      <c r="P7" s="639" t="s">
        <v>129</v>
      </c>
      <c r="Q7" s="731" t="s">
        <v>130</v>
      </c>
      <c r="R7" s="972" t="s">
        <v>133</v>
      </c>
      <c r="S7" s="1275" t="s">
        <v>0</v>
      </c>
      <c r="T7" s="1275"/>
      <c r="U7" s="1275" t="s">
        <v>136</v>
      </c>
      <c r="V7" s="1275"/>
      <c r="W7" s="880" t="s">
        <v>6</v>
      </c>
      <c r="X7" s="535" t="s">
        <v>7</v>
      </c>
      <c r="Y7" s="535" t="s">
        <v>8</v>
      </c>
      <c r="Z7" s="535" t="s">
        <v>9</v>
      </c>
      <c r="AA7" s="535" t="s">
        <v>79</v>
      </c>
      <c r="AB7" s="535" t="s">
        <v>10</v>
      </c>
      <c r="AC7" s="535" t="s">
        <v>11</v>
      </c>
      <c r="AD7" s="535" t="s">
        <v>12</v>
      </c>
      <c r="AE7" s="535" t="s">
        <v>13</v>
      </c>
      <c r="AF7" s="535" t="s">
        <v>14</v>
      </c>
      <c r="AG7" s="161"/>
      <c r="AH7" s="310"/>
    </row>
    <row r="8" spans="1:43" ht="51" customHeight="1" x14ac:dyDescent="0.2">
      <c r="B8" s="1297"/>
      <c r="C8" s="1297"/>
      <c r="D8" s="1297"/>
      <c r="E8" s="1297"/>
      <c r="F8" s="1297"/>
      <c r="G8" s="1297"/>
      <c r="H8" s="641" t="s">
        <v>1005</v>
      </c>
      <c r="I8" s="641" t="s">
        <v>1006</v>
      </c>
      <c r="J8" s="641" t="s">
        <v>1062</v>
      </c>
      <c r="K8" s="642" t="s">
        <v>1063</v>
      </c>
      <c r="L8" s="641" t="s">
        <v>718</v>
      </c>
      <c r="M8" s="642" t="s">
        <v>717</v>
      </c>
      <c r="N8" s="641" t="s">
        <v>715</v>
      </c>
      <c r="O8" s="642" t="s">
        <v>716</v>
      </c>
      <c r="P8" s="643" t="s">
        <v>1059</v>
      </c>
      <c r="Q8" s="643" t="s">
        <v>1060</v>
      </c>
      <c r="R8" s="644" t="s">
        <v>1061</v>
      </c>
      <c r="S8" s="625" t="s">
        <v>1013</v>
      </c>
      <c r="T8" s="625" t="s">
        <v>1013</v>
      </c>
      <c r="U8" s="625" t="s">
        <v>1013</v>
      </c>
      <c r="V8" s="625" t="s">
        <v>1013</v>
      </c>
      <c r="W8" s="870" t="s">
        <v>1013</v>
      </c>
      <c r="X8" s="625" t="s">
        <v>1013</v>
      </c>
      <c r="Y8" s="625" t="s">
        <v>1013</v>
      </c>
      <c r="Z8" s="625" t="s">
        <v>1013</v>
      </c>
      <c r="AA8" s="625" t="s">
        <v>1013</v>
      </c>
      <c r="AB8" s="625" t="s">
        <v>1013</v>
      </c>
      <c r="AC8" s="625" t="s">
        <v>1013</v>
      </c>
      <c r="AD8" s="625" t="s">
        <v>1013</v>
      </c>
      <c r="AE8" s="625" t="s">
        <v>1013</v>
      </c>
      <c r="AF8" s="625" t="s">
        <v>1013</v>
      </c>
      <c r="AG8" s="76"/>
      <c r="AI8" s="1"/>
    </row>
    <row r="9" spans="1:43" s="108" customFormat="1" ht="20.100000000000001" customHeight="1" x14ac:dyDescent="0.2">
      <c r="A9" s="107"/>
      <c r="B9" s="732" t="s">
        <v>91</v>
      </c>
      <c r="C9" s="733" t="s">
        <v>92</v>
      </c>
      <c r="D9" s="734" t="s">
        <v>93</v>
      </c>
      <c r="E9" s="735" t="s">
        <v>94</v>
      </c>
      <c r="F9" s="734"/>
      <c r="G9" s="732" t="s">
        <v>280</v>
      </c>
      <c r="H9" s="736">
        <f>+H34+H72+H10</f>
        <v>102489437</v>
      </c>
      <c r="I9" s="736">
        <f>+I10+I32+I34+I72+I70</f>
        <v>56092645</v>
      </c>
      <c r="J9" s="736">
        <f ca="1">+J32+J34+J70+J72</f>
        <v>0</v>
      </c>
      <c r="K9" s="737">
        <f ca="1">IFERROR(J9/I9,"0.00%")</f>
        <v>0</v>
      </c>
      <c r="L9" s="736">
        <f>+L10+L32+L34+L72+L70</f>
        <v>0</v>
      </c>
      <c r="M9" s="738">
        <f>IFERROR(L9/I9,0)</f>
        <v>0</v>
      </c>
      <c r="N9" s="736">
        <f>+I9-L9</f>
        <v>56092645</v>
      </c>
      <c r="O9" s="739">
        <f>+IFERROR(N9/I9,0)</f>
        <v>1</v>
      </c>
      <c r="P9" s="736">
        <f>+P10+P32+P34+P72</f>
        <v>82012635.648000002</v>
      </c>
      <c r="Q9" s="736">
        <f ca="1">+Q10+Q32+Q34+Q72+Q70</f>
        <v>8343473.2240000004</v>
      </c>
      <c r="R9" s="738">
        <f ca="1">IFERROR(Q9/P9,"0.00%")</f>
        <v>0.10173399693932977</v>
      </c>
      <c r="S9" s="740"/>
      <c r="T9" s="740">
        <f>+T32+T34+T70+T72</f>
        <v>8343473.2240000004</v>
      </c>
      <c r="U9" s="1050">
        <v>0</v>
      </c>
      <c r="V9" s="741">
        <v>0</v>
      </c>
      <c r="W9" s="1053">
        <f>+W32</f>
        <v>2184421</v>
      </c>
      <c r="X9" s="741">
        <v>0</v>
      </c>
      <c r="Y9" s="741">
        <v>0</v>
      </c>
      <c r="Z9" s="741">
        <v>0</v>
      </c>
      <c r="AA9" s="741">
        <v>0</v>
      </c>
      <c r="AB9" s="741">
        <v>0</v>
      </c>
      <c r="AC9" s="741">
        <v>0</v>
      </c>
      <c r="AD9" s="741">
        <v>0</v>
      </c>
      <c r="AE9" s="741">
        <v>0</v>
      </c>
      <c r="AF9" s="741">
        <f>+AF32</f>
        <v>-2334421</v>
      </c>
      <c r="AG9" s="76"/>
      <c r="AH9" s="312"/>
      <c r="AI9" s="1"/>
      <c r="AJ9" s="1"/>
      <c r="AK9" s="1"/>
      <c r="AL9" s="1"/>
      <c r="AM9" s="1"/>
    </row>
    <row r="10" spans="1:43" ht="15" hidden="1" customHeight="1" x14ac:dyDescent="0.2">
      <c r="B10" s="1239">
        <v>24</v>
      </c>
      <c r="C10" s="9" t="s">
        <v>2</v>
      </c>
      <c r="D10" s="326"/>
      <c r="E10" s="10"/>
      <c r="F10" s="63"/>
      <c r="G10" s="742" t="s">
        <v>208</v>
      </c>
      <c r="H10" s="2">
        <f>+H11</f>
        <v>0</v>
      </c>
      <c r="I10" s="2">
        <f>+I11</f>
        <v>0</v>
      </c>
      <c r="J10" s="8">
        <f>+J11</f>
        <v>0</v>
      </c>
      <c r="K10" s="743" t="str">
        <f>IFERROR(J10/I10,"0,0%")</f>
        <v>0,0%</v>
      </c>
      <c r="L10" s="95">
        <f>+L11</f>
        <v>0</v>
      </c>
      <c r="M10" s="744">
        <f>IFERROR(L10/I10,0)</f>
        <v>0</v>
      </c>
      <c r="N10" s="95">
        <v>0</v>
      </c>
      <c r="O10" s="743">
        <f>+IFERROR(N10/I10,0)</f>
        <v>0</v>
      </c>
      <c r="P10" s="320">
        <f>+P11</f>
        <v>0</v>
      </c>
      <c r="Q10" s="8">
        <f>+Q11</f>
        <v>0</v>
      </c>
      <c r="R10" s="1240" t="str">
        <f>IFERROR(Q10/P10,"0.00%")</f>
        <v>0.00%</v>
      </c>
      <c r="S10" s="1240"/>
      <c r="T10" s="745">
        <v>0</v>
      </c>
      <c r="U10" s="745">
        <v>0</v>
      </c>
      <c r="V10" s="8">
        <v>0</v>
      </c>
      <c r="W10" s="1054">
        <v>0</v>
      </c>
      <c r="X10" s="8">
        <v>0</v>
      </c>
      <c r="Y10" s="8">
        <v>0</v>
      </c>
      <c r="Z10" s="8">
        <v>0</v>
      </c>
      <c r="AA10" s="8"/>
      <c r="AB10" s="8">
        <v>0</v>
      </c>
      <c r="AC10" s="8"/>
      <c r="AD10" s="8"/>
      <c r="AE10" s="8"/>
      <c r="AF10" s="8"/>
      <c r="AI10" s="1"/>
    </row>
    <row r="11" spans="1:43" ht="15" hidden="1" customHeight="1" x14ac:dyDescent="0.2">
      <c r="B11" s="1239"/>
      <c r="C11" s="12" t="s">
        <v>162</v>
      </c>
      <c r="D11" s="327"/>
      <c r="E11" s="10"/>
      <c r="F11" s="63"/>
      <c r="G11" s="742" t="s">
        <v>86</v>
      </c>
      <c r="H11" s="2">
        <v>0</v>
      </c>
      <c r="I11" s="2">
        <v>0</v>
      </c>
      <c r="J11" s="2">
        <v>0</v>
      </c>
      <c r="K11" s="743" t="str">
        <f>IFERROR(J11/I11,"0,0%")</f>
        <v>0,0%</v>
      </c>
      <c r="L11" s="95">
        <v>0</v>
      </c>
      <c r="M11" s="744">
        <f>IFERROR(L11/I11,0)</f>
        <v>0</v>
      </c>
      <c r="N11" s="95">
        <v>0</v>
      </c>
      <c r="O11" s="743">
        <f>+IFERROR(N11/I11,0)</f>
        <v>0</v>
      </c>
      <c r="P11" s="746">
        <f>+SUM(P12:P31)</f>
        <v>0</v>
      </c>
      <c r="Q11" s="2">
        <f>SUM(Q12:Q31)</f>
        <v>0</v>
      </c>
      <c r="R11" s="1240" t="str">
        <f>IFERROR(Q11/P11,"0.00%")</f>
        <v>0.00%</v>
      </c>
      <c r="S11" s="1240"/>
      <c r="T11" s="745">
        <v>0</v>
      </c>
      <c r="U11" s="745">
        <v>0</v>
      </c>
      <c r="V11" s="8">
        <v>0</v>
      </c>
      <c r="W11" s="1054">
        <v>0</v>
      </c>
      <c r="X11" s="8">
        <v>0</v>
      </c>
      <c r="Y11" s="8">
        <v>0</v>
      </c>
      <c r="Z11" s="8">
        <v>0</v>
      </c>
      <c r="AA11" s="8"/>
      <c r="AB11" s="8">
        <v>0</v>
      </c>
      <c r="AC11" s="8"/>
      <c r="AD11" s="8"/>
      <c r="AE11" s="8"/>
      <c r="AF11" s="8"/>
      <c r="AI11" s="1"/>
    </row>
    <row r="12" spans="1:43" ht="14.25" hidden="1" customHeight="1" x14ac:dyDescent="0.2">
      <c r="B12" s="1241"/>
      <c r="C12" s="45"/>
      <c r="D12" s="113">
        <v>4</v>
      </c>
      <c r="E12" s="11"/>
      <c r="F12" s="64">
        <v>2402004</v>
      </c>
      <c r="G12" s="747" t="s">
        <v>286</v>
      </c>
      <c r="H12" s="748">
        <v>0</v>
      </c>
      <c r="I12" s="7">
        <v>0</v>
      </c>
      <c r="J12" s="7">
        <v>0</v>
      </c>
      <c r="K12" s="234" t="str">
        <f>IFERROR(J12/I12,"0,00%")</f>
        <v>0,00%</v>
      </c>
      <c r="L12" s="29">
        <v>0</v>
      </c>
      <c r="M12" s="156">
        <f>IFERROR(L12/I12,0)</f>
        <v>0</v>
      </c>
      <c r="N12" s="29">
        <v>0</v>
      </c>
      <c r="O12" s="156">
        <f>+IFERROR(N12/I12,0)</f>
        <v>0</v>
      </c>
      <c r="P12" s="749">
        <v>0</v>
      </c>
      <c r="Q12" s="7">
        <f t="shared" ref="Q12:Q31" si="0">SUMIF($V$3:$AF$3,"SI",V12:AF12)</f>
        <v>0</v>
      </c>
      <c r="R12" s="1242" t="str">
        <f>IFERROR(Q12/P12,"0,0%")</f>
        <v>0,0%</v>
      </c>
      <c r="S12" s="1242"/>
      <c r="T12" s="750">
        <v>0</v>
      </c>
      <c r="U12" s="750">
        <v>0</v>
      </c>
      <c r="V12" s="7">
        <v>0</v>
      </c>
      <c r="W12" s="1055">
        <v>0</v>
      </c>
      <c r="X12" s="751">
        <v>0</v>
      </c>
      <c r="Y12" s="751">
        <v>0</v>
      </c>
      <c r="Z12" s="751">
        <v>0</v>
      </c>
      <c r="AA12" s="751"/>
      <c r="AB12" s="751">
        <v>0</v>
      </c>
      <c r="AC12" s="751"/>
      <c r="AD12" s="751"/>
      <c r="AE12" s="751"/>
      <c r="AF12" s="751"/>
      <c r="AI12" s="1"/>
    </row>
    <row r="13" spans="1:43" ht="15" hidden="1" customHeight="1" x14ac:dyDescent="0.2">
      <c r="B13" s="1241"/>
      <c r="C13" s="45"/>
      <c r="D13" s="328" t="s">
        <v>327</v>
      </c>
      <c r="E13" s="11"/>
      <c r="F13" s="146">
        <v>2402006</v>
      </c>
      <c r="G13" s="747" t="s">
        <v>307</v>
      </c>
      <c r="H13" s="29">
        <v>0</v>
      </c>
      <c r="I13" s="7">
        <v>0</v>
      </c>
      <c r="J13" s="7">
        <v>0</v>
      </c>
      <c r="K13" s="234" t="str">
        <f t="shared" ref="K13:K31" si="1">IFERROR(J13/I13,"0,00%")</f>
        <v>0,00%</v>
      </c>
      <c r="L13" s="29">
        <v>0</v>
      </c>
      <c r="M13" s="156">
        <f t="shared" ref="M13:M33" si="2">IFERROR(L13/I13,0)</f>
        <v>0</v>
      </c>
      <c r="N13" s="29">
        <v>0</v>
      </c>
      <c r="O13" s="156">
        <f t="shared" ref="O13:O27" si="3">+IFERROR(N13/I13,0)</f>
        <v>0</v>
      </c>
      <c r="P13" s="749">
        <v>0</v>
      </c>
      <c r="Q13" s="7">
        <f t="shared" si="0"/>
        <v>0</v>
      </c>
      <c r="R13" s="1242" t="str">
        <f t="shared" ref="R13:R31" si="4">IFERROR(Q13/P13,"0,0%")</f>
        <v>0,0%</v>
      </c>
      <c r="S13" s="1242"/>
      <c r="T13" s="750">
        <v>0</v>
      </c>
      <c r="U13" s="750">
        <v>0</v>
      </c>
      <c r="V13" s="7">
        <v>0</v>
      </c>
      <c r="W13" s="1055">
        <v>0</v>
      </c>
      <c r="X13" s="751">
        <v>0</v>
      </c>
      <c r="Y13" s="751">
        <v>0</v>
      </c>
      <c r="Z13" s="751">
        <v>0</v>
      </c>
      <c r="AA13" s="751"/>
      <c r="AB13" s="751">
        <v>0</v>
      </c>
      <c r="AC13" s="751"/>
      <c r="AD13" s="751"/>
      <c r="AE13" s="751"/>
      <c r="AF13" s="751"/>
      <c r="AI13" s="1"/>
    </row>
    <row r="14" spans="1:43" ht="15" hidden="1" customHeight="1" x14ac:dyDescent="0.2">
      <c r="B14" s="1241"/>
      <c r="C14" s="45"/>
      <c r="D14" s="328" t="s">
        <v>310</v>
      </c>
      <c r="E14" s="11"/>
      <c r="F14" s="146">
        <v>2402007</v>
      </c>
      <c r="G14" s="747" t="s">
        <v>510</v>
      </c>
      <c r="H14" s="29">
        <v>0</v>
      </c>
      <c r="I14" s="7">
        <v>0</v>
      </c>
      <c r="J14" s="7">
        <v>0</v>
      </c>
      <c r="K14" s="234" t="str">
        <f t="shared" si="1"/>
        <v>0,00%</v>
      </c>
      <c r="L14" s="29">
        <v>0</v>
      </c>
      <c r="M14" s="156">
        <f t="shared" si="2"/>
        <v>0</v>
      </c>
      <c r="N14" s="29">
        <v>0</v>
      </c>
      <c r="O14" s="156">
        <f t="shared" si="3"/>
        <v>0</v>
      </c>
      <c r="P14" s="749">
        <v>0</v>
      </c>
      <c r="Q14" s="7">
        <f t="shared" si="0"/>
        <v>0</v>
      </c>
      <c r="R14" s="1242" t="str">
        <f t="shared" si="4"/>
        <v>0,0%</v>
      </c>
      <c r="S14" s="1242"/>
      <c r="T14" s="750">
        <v>0</v>
      </c>
      <c r="U14" s="750">
        <v>0</v>
      </c>
      <c r="V14" s="7">
        <v>0</v>
      </c>
      <c r="W14" s="1055">
        <v>0</v>
      </c>
      <c r="X14" s="751">
        <v>0</v>
      </c>
      <c r="Y14" s="751">
        <v>0</v>
      </c>
      <c r="Z14" s="751">
        <v>0</v>
      </c>
      <c r="AA14" s="751"/>
      <c r="AB14" s="751">
        <v>0</v>
      </c>
      <c r="AC14" s="751"/>
      <c r="AD14" s="751"/>
      <c r="AE14" s="751"/>
      <c r="AF14" s="751"/>
      <c r="AI14" s="1"/>
    </row>
    <row r="15" spans="1:43" ht="15" hidden="1" customHeight="1" x14ac:dyDescent="0.2">
      <c r="B15" s="1241"/>
      <c r="C15" s="45"/>
      <c r="D15" s="113">
        <v>101</v>
      </c>
      <c r="E15" s="11"/>
      <c r="F15" s="146">
        <v>2402101</v>
      </c>
      <c r="G15" s="747" t="s">
        <v>660</v>
      </c>
      <c r="H15" s="29">
        <v>0</v>
      </c>
      <c r="I15" s="7">
        <v>0</v>
      </c>
      <c r="J15" s="7">
        <v>0</v>
      </c>
      <c r="K15" s="234" t="str">
        <f t="shared" si="1"/>
        <v>0,00%</v>
      </c>
      <c r="L15" s="29">
        <v>0</v>
      </c>
      <c r="M15" s="156">
        <f t="shared" si="2"/>
        <v>0</v>
      </c>
      <c r="N15" s="29">
        <v>0</v>
      </c>
      <c r="O15" s="156">
        <f t="shared" si="3"/>
        <v>0</v>
      </c>
      <c r="P15" s="749">
        <v>0</v>
      </c>
      <c r="Q15" s="7">
        <f t="shared" si="0"/>
        <v>0</v>
      </c>
      <c r="R15" s="1242" t="str">
        <f t="shared" si="4"/>
        <v>0,0%</v>
      </c>
      <c r="S15" s="1242"/>
      <c r="T15" s="750">
        <v>0</v>
      </c>
      <c r="U15" s="750">
        <v>0</v>
      </c>
      <c r="V15" s="7">
        <v>0</v>
      </c>
      <c r="W15" s="1055">
        <v>0</v>
      </c>
      <c r="X15" s="751">
        <v>0</v>
      </c>
      <c r="Y15" s="751">
        <v>0</v>
      </c>
      <c r="Z15" s="751">
        <v>0</v>
      </c>
      <c r="AA15" s="751"/>
      <c r="AB15" s="751">
        <v>0</v>
      </c>
      <c r="AC15" s="751"/>
      <c r="AD15" s="751"/>
      <c r="AE15" s="751"/>
      <c r="AF15" s="751"/>
      <c r="AI15" s="1"/>
    </row>
    <row r="16" spans="1:43" ht="15" hidden="1" customHeight="1" x14ac:dyDescent="0.25">
      <c r="B16" s="1241"/>
      <c r="C16" s="45"/>
      <c r="D16" s="113"/>
      <c r="E16" s="11"/>
      <c r="F16" s="146" t="s">
        <v>462</v>
      </c>
      <c r="G16" s="747" t="s">
        <v>603</v>
      </c>
      <c r="H16" s="29">
        <v>0</v>
      </c>
      <c r="I16" s="7">
        <v>0</v>
      </c>
      <c r="J16" s="7">
        <v>0</v>
      </c>
      <c r="K16" s="234" t="str">
        <f t="shared" si="1"/>
        <v>0,00%</v>
      </c>
      <c r="L16" s="29">
        <v>0</v>
      </c>
      <c r="M16" s="156">
        <f t="shared" si="2"/>
        <v>0</v>
      </c>
      <c r="N16" s="29">
        <v>0</v>
      </c>
      <c r="O16" s="156">
        <f t="shared" si="3"/>
        <v>0</v>
      </c>
      <c r="P16" s="749">
        <v>0</v>
      </c>
      <c r="Q16" s="7">
        <f t="shared" si="0"/>
        <v>0</v>
      </c>
      <c r="R16" s="1242" t="str">
        <f t="shared" si="4"/>
        <v>0,0%</v>
      </c>
      <c r="S16" s="1242"/>
      <c r="T16" s="750">
        <v>0</v>
      </c>
      <c r="U16" s="750">
        <v>0</v>
      </c>
      <c r="V16" s="7">
        <v>0</v>
      </c>
      <c r="W16" s="1055">
        <v>0</v>
      </c>
      <c r="X16" s="751">
        <v>0</v>
      </c>
      <c r="Y16" s="751">
        <v>0</v>
      </c>
      <c r="Z16" s="751">
        <v>0</v>
      </c>
      <c r="AA16" s="751"/>
      <c r="AB16" s="751">
        <v>0</v>
      </c>
      <c r="AC16" s="751"/>
      <c r="AD16" s="751"/>
      <c r="AE16" s="751"/>
      <c r="AF16" s="751"/>
      <c r="AI16"/>
      <c r="AJ16"/>
      <c r="AK16"/>
    </row>
    <row r="17" spans="2:37" ht="15" hidden="1" customHeight="1" x14ac:dyDescent="0.25">
      <c r="B17" s="1241"/>
      <c r="C17" s="45"/>
      <c r="D17" s="113">
        <v>103</v>
      </c>
      <c r="E17" s="11"/>
      <c r="F17" s="146">
        <v>2402103</v>
      </c>
      <c r="G17" s="747" t="s">
        <v>661</v>
      </c>
      <c r="H17" s="29">
        <v>0</v>
      </c>
      <c r="I17" s="7">
        <v>0</v>
      </c>
      <c r="J17" s="7">
        <v>0</v>
      </c>
      <c r="K17" s="234" t="str">
        <f t="shared" si="1"/>
        <v>0,00%</v>
      </c>
      <c r="L17" s="29">
        <v>0</v>
      </c>
      <c r="M17" s="156">
        <f t="shared" si="2"/>
        <v>0</v>
      </c>
      <c r="N17" s="29">
        <v>0</v>
      </c>
      <c r="O17" s="156">
        <f t="shared" si="3"/>
        <v>0</v>
      </c>
      <c r="P17" s="749">
        <v>0</v>
      </c>
      <c r="Q17" s="7">
        <f t="shared" si="0"/>
        <v>0</v>
      </c>
      <c r="R17" s="1242" t="str">
        <f t="shared" si="4"/>
        <v>0,0%</v>
      </c>
      <c r="S17" s="1242"/>
      <c r="T17" s="750">
        <v>0</v>
      </c>
      <c r="U17" s="750">
        <v>0</v>
      </c>
      <c r="V17" s="7">
        <v>0</v>
      </c>
      <c r="W17" s="1055">
        <v>0</v>
      </c>
      <c r="X17" s="751">
        <v>0</v>
      </c>
      <c r="Y17" s="751">
        <v>0</v>
      </c>
      <c r="Z17" s="751">
        <v>0</v>
      </c>
      <c r="AA17" s="751"/>
      <c r="AB17" s="751">
        <v>0</v>
      </c>
      <c r="AC17" s="751"/>
      <c r="AD17" s="751"/>
      <c r="AE17" s="751"/>
      <c r="AF17" s="751"/>
      <c r="AG17" s="76"/>
      <c r="AI17"/>
      <c r="AJ17"/>
      <c r="AK17"/>
    </row>
    <row r="18" spans="2:37" ht="15" hidden="1" customHeight="1" x14ac:dyDescent="0.25">
      <c r="B18" s="1241"/>
      <c r="C18" s="45"/>
      <c r="D18" s="113">
        <v>104</v>
      </c>
      <c r="E18" s="11"/>
      <c r="F18" s="146">
        <v>2402104</v>
      </c>
      <c r="G18" s="747" t="s">
        <v>662</v>
      </c>
      <c r="H18" s="29">
        <v>0</v>
      </c>
      <c r="I18" s="7">
        <v>0</v>
      </c>
      <c r="J18" s="7">
        <v>0</v>
      </c>
      <c r="K18" s="234" t="str">
        <f t="shared" si="1"/>
        <v>0,00%</v>
      </c>
      <c r="L18" s="29">
        <v>0</v>
      </c>
      <c r="M18" s="156">
        <f t="shared" si="2"/>
        <v>0</v>
      </c>
      <c r="N18" s="29">
        <v>0</v>
      </c>
      <c r="O18" s="156">
        <f t="shared" si="3"/>
        <v>0</v>
      </c>
      <c r="P18" s="749">
        <v>0</v>
      </c>
      <c r="Q18" s="7">
        <f t="shared" si="0"/>
        <v>0</v>
      </c>
      <c r="R18" s="1242" t="str">
        <f t="shared" si="4"/>
        <v>0,0%</v>
      </c>
      <c r="S18" s="1242"/>
      <c r="T18" s="750">
        <v>0</v>
      </c>
      <c r="U18" s="750">
        <v>0</v>
      </c>
      <c r="V18" s="7">
        <v>0</v>
      </c>
      <c r="W18" s="1055">
        <v>0</v>
      </c>
      <c r="X18" s="751">
        <v>0</v>
      </c>
      <c r="Y18" s="751">
        <v>0</v>
      </c>
      <c r="Z18" s="751">
        <v>0</v>
      </c>
      <c r="AA18" s="751"/>
      <c r="AB18" s="751">
        <v>0</v>
      </c>
      <c r="AC18" s="751"/>
      <c r="AD18" s="751"/>
      <c r="AE18" s="751"/>
      <c r="AF18" s="751"/>
      <c r="AG18" s="76"/>
      <c r="AI18"/>
      <c r="AJ18"/>
      <c r="AK18"/>
    </row>
    <row r="19" spans="2:37" ht="15" hidden="1" customHeight="1" x14ac:dyDescent="0.25">
      <c r="B19" s="1241"/>
      <c r="C19" s="45"/>
      <c r="D19" s="113">
        <v>105</v>
      </c>
      <c r="E19" s="11"/>
      <c r="F19" s="146">
        <v>2402105</v>
      </c>
      <c r="G19" s="747" t="s">
        <v>663</v>
      </c>
      <c r="H19" s="29">
        <v>0</v>
      </c>
      <c r="I19" s="7">
        <v>0</v>
      </c>
      <c r="J19" s="7">
        <v>0</v>
      </c>
      <c r="K19" s="234" t="str">
        <f t="shared" si="1"/>
        <v>0,00%</v>
      </c>
      <c r="L19" s="29">
        <v>0</v>
      </c>
      <c r="M19" s="156">
        <f t="shared" si="2"/>
        <v>0</v>
      </c>
      <c r="N19" s="29">
        <v>0</v>
      </c>
      <c r="O19" s="156">
        <f t="shared" si="3"/>
        <v>0</v>
      </c>
      <c r="P19" s="749">
        <v>0</v>
      </c>
      <c r="Q19" s="7">
        <f t="shared" si="0"/>
        <v>0</v>
      </c>
      <c r="R19" s="1242" t="str">
        <f t="shared" si="4"/>
        <v>0,0%</v>
      </c>
      <c r="S19" s="1242"/>
      <c r="T19" s="750">
        <v>0</v>
      </c>
      <c r="U19" s="750">
        <v>0</v>
      </c>
      <c r="V19" s="7">
        <v>0</v>
      </c>
      <c r="W19" s="1055">
        <v>0</v>
      </c>
      <c r="X19" s="751">
        <v>0</v>
      </c>
      <c r="Y19" s="751">
        <v>0</v>
      </c>
      <c r="Z19" s="751">
        <v>0</v>
      </c>
      <c r="AA19" s="751"/>
      <c r="AB19" s="751">
        <v>0</v>
      </c>
      <c r="AC19" s="751"/>
      <c r="AD19" s="751"/>
      <c r="AE19" s="751"/>
      <c r="AF19" s="751"/>
      <c r="AG19" s="76"/>
      <c r="AI19"/>
      <c r="AJ19"/>
      <c r="AK19"/>
    </row>
    <row r="20" spans="2:37" ht="15" hidden="1" customHeight="1" x14ac:dyDescent="0.25">
      <c r="B20" s="1241"/>
      <c r="C20" s="45"/>
      <c r="D20" s="113">
        <v>106</v>
      </c>
      <c r="E20" s="11"/>
      <c r="F20" s="146">
        <v>2402106</v>
      </c>
      <c r="G20" s="747" t="s">
        <v>664</v>
      </c>
      <c r="H20" s="29">
        <v>0</v>
      </c>
      <c r="I20" s="7">
        <v>0</v>
      </c>
      <c r="J20" s="7">
        <v>0</v>
      </c>
      <c r="K20" s="234" t="str">
        <f t="shared" si="1"/>
        <v>0,00%</v>
      </c>
      <c r="L20" s="29">
        <v>0</v>
      </c>
      <c r="M20" s="156">
        <f t="shared" si="2"/>
        <v>0</v>
      </c>
      <c r="N20" s="29">
        <v>0</v>
      </c>
      <c r="O20" s="156">
        <f t="shared" si="3"/>
        <v>0</v>
      </c>
      <c r="P20" s="749">
        <v>0</v>
      </c>
      <c r="Q20" s="7">
        <f t="shared" si="0"/>
        <v>0</v>
      </c>
      <c r="R20" s="1242" t="str">
        <f t="shared" si="4"/>
        <v>0,0%</v>
      </c>
      <c r="S20" s="1242"/>
      <c r="T20" s="750">
        <v>0</v>
      </c>
      <c r="U20" s="750">
        <v>0</v>
      </c>
      <c r="V20" s="7">
        <v>0</v>
      </c>
      <c r="W20" s="1055">
        <v>0</v>
      </c>
      <c r="X20" s="751">
        <v>0</v>
      </c>
      <c r="Y20" s="751">
        <v>0</v>
      </c>
      <c r="Z20" s="751">
        <v>0</v>
      </c>
      <c r="AA20" s="751"/>
      <c r="AB20" s="751">
        <v>0</v>
      </c>
      <c r="AC20" s="751"/>
      <c r="AD20" s="751"/>
      <c r="AE20" s="751"/>
      <c r="AF20" s="751"/>
      <c r="AG20" s="76"/>
      <c r="AI20"/>
      <c r="AJ20"/>
      <c r="AK20"/>
    </row>
    <row r="21" spans="2:37" ht="15" hidden="1" customHeight="1" x14ac:dyDescent="0.25">
      <c r="B21" s="1241"/>
      <c r="C21" s="45"/>
      <c r="D21" s="113">
        <v>107</v>
      </c>
      <c r="E21" s="11"/>
      <c r="F21" s="146">
        <v>2402107</v>
      </c>
      <c r="G21" s="747" t="s">
        <v>594</v>
      </c>
      <c r="H21" s="29">
        <v>0</v>
      </c>
      <c r="I21" s="7">
        <v>0</v>
      </c>
      <c r="J21" s="7">
        <v>0</v>
      </c>
      <c r="K21" s="234" t="str">
        <f t="shared" si="1"/>
        <v>0,00%</v>
      </c>
      <c r="L21" s="29">
        <v>0</v>
      </c>
      <c r="M21" s="156">
        <f t="shared" si="2"/>
        <v>0</v>
      </c>
      <c r="N21" s="29">
        <v>0</v>
      </c>
      <c r="O21" s="156">
        <f t="shared" si="3"/>
        <v>0</v>
      </c>
      <c r="P21" s="749">
        <v>0</v>
      </c>
      <c r="Q21" s="7">
        <f t="shared" si="0"/>
        <v>0</v>
      </c>
      <c r="R21" s="1242" t="str">
        <f t="shared" si="4"/>
        <v>0,0%</v>
      </c>
      <c r="S21" s="1242"/>
      <c r="T21" s="750">
        <v>0</v>
      </c>
      <c r="U21" s="750">
        <v>0</v>
      </c>
      <c r="V21" s="7">
        <v>0</v>
      </c>
      <c r="W21" s="1055">
        <v>0</v>
      </c>
      <c r="X21" s="751">
        <v>0</v>
      </c>
      <c r="Y21" s="751">
        <v>0</v>
      </c>
      <c r="Z21" s="751">
        <v>0</v>
      </c>
      <c r="AA21" s="751"/>
      <c r="AB21" s="751">
        <v>0</v>
      </c>
      <c r="AC21" s="751"/>
      <c r="AD21" s="751"/>
      <c r="AE21" s="751"/>
      <c r="AF21" s="751"/>
      <c r="AG21" s="76"/>
      <c r="AI21"/>
      <c r="AJ21"/>
      <c r="AK21"/>
    </row>
    <row r="22" spans="2:37" ht="15" hidden="1" customHeight="1" x14ac:dyDescent="0.25">
      <c r="B22" s="1241"/>
      <c r="C22" s="45"/>
      <c r="D22" s="113"/>
      <c r="E22" s="11"/>
      <c r="F22" s="146" t="s">
        <v>463</v>
      </c>
      <c r="G22" s="747" t="s">
        <v>757</v>
      </c>
      <c r="H22" s="29">
        <v>0</v>
      </c>
      <c r="I22" s="7">
        <v>0</v>
      </c>
      <c r="J22" s="7">
        <v>0</v>
      </c>
      <c r="K22" s="234" t="str">
        <f t="shared" si="1"/>
        <v>0,00%</v>
      </c>
      <c r="L22" s="29">
        <v>0</v>
      </c>
      <c r="M22" s="156">
        <f t="shared" si="2"/>
        <v>0</v>
      </c>
      <c r="N22" s="29">
        <v>0</v>
      </c>
      <c r="O22" s="156">
        <f t="shared" si="3"/>
        <v>0</v>
      </c>
      <c r="P22" s="749">
        <v>0</v>
      </c>
      <c r="Q22" s="7">
        <f t="shared" si="0"/>
        <v>0</v>
      </c>
      <c r="R22" s="1242" t="str">
        <f t="shared" si="4"/>
        <v>0,0%</v>
      </c>
      <c r="S22" s="1242"/>
      <c r="T22" s="750">
        <v>0</v>
      </c>
      <c r="U22" s="750">
        <v>0</v>
      </c>
      <c r="V22" s="7">
        <v>0</v>
      </c>
      <c r="W22" s="1055">
        <v>0</v>
      </c>
      <c r="X22" s="751">
        <v>0</v>
      </c>
      <c r="Y22" s="751">
        <v>0</v>
      </c>
      <c r="Z22" s="751">
        <v>0</v>
      </c>
      <c r="AA22" s="751"/>
      <c r="AB22" s="751">
        <v>0</v>
      </c>
      <c r="AC22" s="751"/>
      <c r="AD22" s="751"/>
      <c r="AE22" s="751"/>
      <c r="AF22" s="751"/>
      <c r="AG22" s="76"/>
      <c r="AI22"/>
      <c r="AJ22"/>
      <c r="AK22"/>
    </row>
    <row r="23" spans="2:37" ht="15" hidden="1" customHeight="1" x14ac:dyDescent="0.25">
      <c r="B23" s="1241"/>
      <c r="C23" s="45"/>
      <c r="D23" s="113">
        <v>109</v>
      </c>
      <c r="E23" s="11"/>
      <c r="F23" s="146">
        <v>2402109</v>
      </c>
      <c r="G23" s="747" t="s">
        <v>665</v>
      </c>
      <c r="H23" s="29">
        <v>0</v>
      </c>
      <c r="I23" s="7">
        <v>0</v>
      </c>
      <c r="J23" s="7">
        <v>0</v>
      </c>
      <c r="K23" s="234" t="str">
        <f t="shared" si="1"/>
        <v>0,00%</v>
      </c>
      <c r="L23" s="29">
        <v>0</v>
      </c>
      <c r="M23" s="156">
        <f t="shared" si="2"/>
        <v>0</v>
      </c>
      <c r="N23" s="29">
        <v>0</v>
      </c>
      <c r="O23" s="156">
        <f t="shared" si="3"/>
        <v>0</v>
      </c>
      <c r="P23" s="749">
        <v>0</v>
      </c>
      <c r="Q23" s="7">
        <f t="shared" si="0"/>
        <v>0</v>
      </c>
      <c r="R23" s="1242" t="str">
        <f t="shared" si="4"/>
        <v>0,0%</v>
      </c>
      <c r="S23" s="1242"/>
      <c r="T23" s="750">
        <v>0</v>
      </c>
      <c r="U23" s="750">
        <v>0</v>
      </c>
      <c r="V23" s="7">
        <v>0</v>
      </c>
      <c r="W23" s="1055">
        <v>0</v>
      </c>
      <c r="X23" s="751">
        <v>0</v>
      </c>
      <c r="Y23" s="751">
        <v>0</v>
      </c>
      <c r="Z23" s="751">
        <v>0</v>
      </c>
      <c r="AA23" s="751"/>
      <c r="AB23" s="751">
        <v>0</v>
      </c>
      <c r="AC23" s="751"/>
      <c r="AD23" s="751"/>
      <c r="AE23" s="751"/>
      <c r="AF23" s="751"/>
      <c r="AG23" s="76"/>
      <c r="AI23"/>
      <c r="AJ23"/>
      <c r="AK23"/>
    </row>
    <row r="24" spans="2:37" ht="15" hidden="1" customHeight="1" x14ac:dyDescent="0.25">
      <c r="B24" s="1241"/>
      <c r="C24" s="45"/>
      <c r="D24" s="113">
        <v>110</v>
      </c>
      <c r="E24" s="11"/>
      <c r="F24" s="146">
        <v>2402110</v>
      </c>
      <c r="G24" s="747" t="s">
        <v>666</v>
      </c>
      <c r="H24" s="29">
        <v>0</v>
      </c>
      <c r="I24" s="7">
        <v>0</v>
      </c>
      <c r="J24" s="7">
        <v>0</v>
      </c>
      <c r="K24" s="234" t="str">
        <f t="shared" si="1"/>
        <v>0,00%</v>
      </c>
      <c r="L24" s="29">
        <v>0</v>
      </c>
      <c r="M24" s="156">
        <f t="shared" si="2"/>
        <v>0</v>
      </c>
      <c r="N24" s="29">
        <v>0</v>
      </c>
      <c r="O24" s="156">
        <f t="shared" si="3"/>
        <v>0</v>
      </c>
      <c r="P24" s="749">
        <v>0</v>
      </c>
      <c r="Q24" s="7">
        <f t="shared" si="0"/>
        <v>0</v>
      </c>
      <c r="R24" s="1242" t="str">
        <f t="shared" si="4"/>
        <v>0,0%</v>
      </c>
      <c r="S24" s="1242"/>
      <c r="T24" s="750">
        <v>0</v>
      </c>
      <c r="U24" s="750">
        <v>0</v>
      </c>
      <c r="V24" s="7">
        <v>0</v>
      </c>
      <c r="W24" s="1055">
        <v>0</v>
      </c>
      <c r="X24" s="751">
        <v>0</v>
      </c>
      <c r="Y24" s="751">
        <v>0</v>
      </c>
      <c r="Z24" s="751">
        <v>0</v>
      </c>
      <c r="AA24" s="751"/>
      <c r="AB24" s="751">
        <v>0</v>
      </c>
      <c r="AC24" s="751"/>
      <c r="AD24" s="751"/>
      <c r="AE24" s="751"/>
      <c r="AF24" s="751"/>
      <c r="AG24" s="76"/>
      <c r="AI24"/>
      <c r="AJ24"/>
      <c r="AK24"/>
    </row>
    <row r="25" spans="2:37" ht="15" hidden="1" customHeight="1" x14ac:dyDescent="0.25">
      <c r="B25" s="1241"/>
      <c r="C25" s="45"/>
      <c r="D25" s="113"/>
      <c r="E25" s="11"/>
      <c r="F25" s="752" t="s">
        <v>464</v>
      </c>
      <c r="G25" s="747" t="s">
        <v>604</v>
      </c>
      <c r="H25" s="29">
        <v>0</v>
      </c>
      <c r="I25" s="7">
        <v>0</v>
      </c>
      <c r="J25" s="7">
        <v>0</v>
      </c>
      <c r="K25" s="234" t="str">
        <f t="shared" si="1"/>
        <v>0,00%</v>
      </c>
      <c r="L25" s="29">
        <v>0</v>
      </c>
      <c r="M25" s="156">
        <f t="shared" si="2"/>
        <v>0</v>
      </c>
      <c r="N25" s="29">
        <v>0</v>
      </c>
      <c r="O25" s="156">
        <f t="shared" si="3"/>
        <v>0</v>
      </c>
      <c r="P25" s="749">
        <v>0</v>
      </c>
      <c r="Q25" s="7">
        <f t="shared" si="0"/>
        <v>0</v>
      </c>
      <c r="R25" s="1242" t="str">
        <f t="shared" si="4"/>
        <v>0,0%</v>
      </c>
      <c r="S25" s="1242"/>
      <c r="T25" s="750">
        <v>0</v>
      </c>
      <c r="U25" s="750">
        <v>0</v>
      </c>
      <c r="V25" s="7">
        <v>0</v>
      </c>
      <c r="W25" s="1055">
        <v>0</v>
      </c>
      <c r="X25" s="751">
        <v>0</v>
      </c>
      <c r="Y25" s="751">
        <v>0</v>
      </c>
      <c r="Z25" s="751">
        <v>0</v>
      </c>
      <c r="AA25" s="751"/>
      <c r="AB25" s="751">
        <v>0</v>
      </c>
      <c r="AC25" s="751"/>
      <c r="AD25" s="751"/>
      <c r="AE25" s="751"/>
      <c r="AF25" s="751"/>
      <c r="AG25" s="76"/>
      <c r="AI25"/>
      <c r="AJ25"/>
      <c r="AK25"/>
    </row>
    <row r="26" spans="2:37" ht="15" hidden="1" customHeight="1" x14ac:dyDescent="0.25">
      <c r="B26" s="1241"/>
      <c r="C26" s="45"/>
      <c r="D26" s="113">
        <v>112</v>
      </c>
      <c r="E26" s="11"/>
      <c r="F26" s="146">
        <v>2402112</v>
      </c>
      <c r="G26" s="747" t="s">
        <v>667</v>
      </c>
      <c r="H26" s="29">
        <v>0</v>
      </c>
      <c r="I26" s="7">
        <v>0</v>
      </c>
      <c r="J26" s="7">
        <v>0</v>
      </c>
      <c r="K26" s="234" t="str">
        <f t="shared" si="1"/>
        <v>0,00%</v>
      </c>
      <c r="L26" s="29">
        <v>0</v>
      </c>
      <c r="M26" s="156">
        <f t="shared" si="2"/>
        <v>0</v>
      </c>
      <c r="N26" s="29">
        <v>0</v>
      </c>
      <c r="O26" s="156">
        <f t="shared" si="3"/>
        <v>0</v>
      </c>
      <c r="P26" s="749">
        <v>0</v>
      </c>
      <c r="Q26" s="7">
        <f t="shared" si="0"/>
        <v>0</v>
      </c>
      <c r="R26" s="1242" t="str">
        <f t="shared" si="4"/>
        <v>0,0%</v>
      </c>
      <c r="S26" s="1242"/>
      <c r="T26" s="750">
        <v>0</v>
      </c>
      <c r="U26" s="750">
        <v>0</v>
      </c>
      <c r="V26" s="7">
        <v>0</v>
      </c>
      <c r="W26" s="1055">
        <v>0</v>
      </c>
      <c r="X26" s="751">
        <v>0</v>
      </c>
      <c r="Y26" s="751">
        <v>0</v>
      </c>
      <c r="Z26" s="751">
        <v>0</v>
      </c>
      <c r="AA26" s="751"/>
      <c r="AB26" s="751">
        <v>0</v>
      </c>
      <c r="AC26" s="751"/>
      <c r="AD26" s="751"/>
      <c r="AE26" s="751"/>
      <c r="AF26" s="751"/>
      <c r="AG26" s="76"/>
      <c r="AI26"/>
      <c r="AJ26"/>
      <c r="AK26"/>
    </row>
    <row r="27" spans="2:37" ht="15" hidden="1" customHeight="1" x14ac:dyDescent="0.25">
      <c r="B27" s="1241"/>
      <c r="C27" s="45"/>
      <c r="D27" s="113">
        <v>113</v>
      </c>
      <c r="E27" s="11"/>
      <c r="F27" s="146">
        <v>2402113</v>
      </c>
      <c r="G27" s="747" t="s">
        <v>668</v>
      </c>
      <c r="H27" s="29">
        <v>0</v>
      </c>
      <c r="I27" s="7">
        <v>0</v>
      </c>
      <c r="J27" s="7">
        <v>0</v>
      </c>
      <c r="K27" s="234" t="str">
        <f t="shared" si="1"/>
        <v>0,00%</v>
      </c>
      <c r="L27" s="29">
        <v>0</v>
      </c>
      <c r="M27" s="156">
        <f t="shared" si="2"/>
        <v>0</v>
      </c>
      <c r="N27" s="29">
        <v>0</v>
      </c>
      <c r="O27" s="156">
        <f t="shared" si="3"/>
        <v>0</v>
      </c>
      <c r="P27" s="749">
        <v>0</v>
      </c>
      <c r="Q27" s="7">
        <f t="shared" si="0"/>
        <v>0</v>
      </c>
      <c r="R27" s="1242" t="str">
        <f t="shared" si="4"/>
        <v>0,0%</v>
      </c>
      <c r="S27" s="1242"/>
      <c r="T27" s="750">
        <v>0</v>
      </c>
      <c r="U27" s="750">
        <v>0</v>
      </c>
      <c r="V27" s="7">
        <v>0</v>
      </c>
      <c r="W27" s="1055">
        <v>0</v>
      </c>
      <c r="X27" s="751">
        <v>0</v>
      </c>
      <c r="Y27" s="751">
        <v>0</v>
      </c>
      <c r="Z27" s="751">
        <v>0</v>
      </c>
      <c r="AA27" s="751"/>
      <c r="AB27" s="751">
        <v>0</v>
      </c>
      <c r="AC27" s="751"/>
      <c r="AD27" s="751"/>
      <c r="AE27" s="751"/>
      <c r="AF27" s="751"/>
      <c r="AG27" s="76"/>
      <c r="AI27"/>
      <c r="AJ27"/>
      <c r="AK27"/>
    </row>
    <row r="28" spans="2:37" ht="15" hidden="1" customHeight="1" x14ac:dyDescent="0.25">
      <c r="B28" s="1241"/>
      <c r="C28" s="45"/>
      <c r="D28" s="113">
        <v>114</v>
      </c>
      <c r="E28" s="11"/>
      <c r="F28" s="146">
        <v>2402114</v>
      </c>
      <c r="G28" s="747" t="s">
        <v>669</v>
      </c>
      <c r="H28" s="29">
        <v>0</v>
      </c>
      <c r="I28" s="7">
        <v>0</v>
      </c>
      <c r="J28" s="7">
        <v>0</v>
      </c>
      <c r="K28" s="234" t="str">
        <f t="shared" si="1"/>
        <v>0,00%</v>
      </c>
      <c r="L28" s="29">
        <v>0</v>
      </c>
      <c r="M28" s="156">
        <f t="shared" si="2"/>
        <v>0</v>
      </c>
      <c r="N28" s="29">
        <v>0</v>
      </c>
      <c r="O28" s="156">
        <f>+IFERROR(N28/I28,0)</f>
        <v>0</v>
      </c>
      <c r="P28" s="749">
        <v>0</v>
      </c>
      <c r="Q28" s="7">
        <f t="shared" si="0"/>
        <v>0</v>
      </c>
      <c r="R28" s="1242" t="str">
        <f t="shared" si="4"/>
        <v>0,0%</v>
      </c>
      <c r="S28" s="1242"/>
      <c r="T28" s="750">
        <v>0</v>
      </c>
      <c r="U28" s="750">
        <v>0</v>
      </c>
      <c r="V28" s="7">
        <v>0</v>
      </c>
      <c r="W28" s="1055">
        <v>0</v>
      </c>
      <c r="X28" s="751">
        <v>0</v>
      </c>
      <c r="Y28" s="751">
        <v>0</v>
      </c>
      <c r="Z28" s="751">
        <v>0</v>
      </c>
      <c r="AA28" s="751"/>
      <c r="AB28" s="751">
        <v>0</v>
      </c>
      <c r="AC28" s="751"/>
      <c r="AD28" s="751"/>
      <c r="AE28" s="751"/>
      <c r="AF28" s="751"/>
      <c r="AG28" s="1"/>
      <c r="AI28"/>
      <c r="AJ28"/>
      <c r="AK28"/>
    </row>
    <row r="29" spans="2:37" ht="15" hidden="1" customHeight="1" x14ac:dyDescent="0.25">
      <c r="B29" s="1241"/>
      <c r="C29" s="45"/>
      <c r="D29" s="113">
        <v>115</v>
      </c>
      <c r="E29" s="11"/>
      <c r="F29" s="146">
        <v>2402115</v>
      </c>
      <c r="G29" s="747" t="s">
        <v>670</v>
      </c>
      <c r="H29" s="29">
        <v>0</v>
      </c>
      <c r="I29" s="7">
        <v>0</v>
      </c>
      <c r="J29" s="7">
        <v>0</v>
      </c>
      <c r="K29" s="234" t="str">
        <f t="shared" si="1"/>
        <v>0,00%</v>
      </c>
      <c r="L29" s="29">
        <v>0</v>
      </c>
      <c r="M29" s="156">
        <f t="shared" si="2"/>
        <v>0</v>
      </c>
      <c r="N29" s="29">
        <v>0</v>
      </c>
      <c r="O29" s="156">
        <f t="shared" ref="O29:O35" si="5">+IFERROR(N29/I29,0)</f>
        <v>0</v>
      </c>
      <c r="P29" s="749">
        <v>0</v>
      </c>
      <c r="Q29" s="7">
        <f t="shared" si="0"/>
        <v>0</v>
      </c>
      <c r="R29" s="1242" t="str">
        <f t="shared" si="4"/>
        <v>0,0%</v>
      </c>
      <c r="S29" s="1242"/>
      <c r="T29" s="750">
        <v>0</v>
      </c>
      <c r="U29" s="750">
        <v>0</v>
      </c>
      <c r="V29" s="7">
        <v>0</v>
      </c>
      <c r="W29" s="1055">
        <v>0</v>
      </c>
      <c r="X29" s="751">
        <v>0</v>
      </c>
      <c r="Y29" s="751">
        <v>0</v>
      </c>
      <c r="Z29" s="751">
        <v>0</v>
      </c>
      <c r="AA29" s="751"/>
      <c r="AB29" s="751">
        <v>0</v>
      </c>
      <c r="AC29" s="751"/>
      <c r="AD29" s="751"/>
      <c r="AE29" s="751"/>
      <c r="AF29" s="751"/>
      <c r="AG29" s="1"/>
      <c r="AI29"/>
      <c r="AJ29"/>
      <c r="AK29"/>
    </row>
    <row r="30" spans="2:37" ht="15" hidden="1" customHeight="1" x14ac:dyDescent="0.25">
      <c r="B30" s="1241"/>
      <c r="C30" s="45"/>
      <c r="D30" s="113"/>
      <c r="E30" s="11"/>
      <c r="F30" s="146">
        <v>2402116</v>
      </c>
      <c r="G30" s="747" t="s">
        <v>595</v>
      </c>
      <c r="H30" s="29">
        <v>0</v>
      </c>
      <c r="I30" s="7">
        <v>0</v>
      </c>
      <c r="J30" s="7">
        <v>0</v>
      </c>
      <c r="K30" s="234" t="str">
        <f t="shared" si="1"/>
        <v>0,00%</v>
      </c>
      <c r="L30" s="29">
        <v>0</v>
      </c>
      <c r="M30" s="156">
        <f t="shared" si="2"/>
        <v>0</v>
      </c>
      <c r="N30" s="29">
        <v>0</v>
      </c>
      <c r="O30" s="156">
        <f t="shared" si="5"/>
        <v>0</v>
      </c>
      <c r="P30" s="749">
        <v>0</v>
      </c>
      <c r="Q30" s="7">
        <f t="shared" si="0"/>
        <v>0</v>
      </c>
      <c r="R30" s="1242" t="str">
        <f t="shared" si="4"/>
        <v>0,0%</v>
      </c>
      <c r="S30" s="1242"/>
      <c r="T30" s="750">
        <v>0</v>
      </c>
      <c r="U30" s="750">
        <v>0</v>
      </c>
      <c r="V30" s="7">
        <v>0</v>
      </c>
      <c r="W30" s="1055">
        <v>0</v>
      </c>
      <c r="X30" s="751">
        <v>0</v>
      </c>
      <c r="Y30" s="751">
        <v>0</v>
      </c>
      <c r="Z30" s="751">
        <v>0</v>
      </c>
      <c r="AA30" s="751"/>
      <c r="AB30" s="751">
        <v>0</v>
      </c>
      <c r="AC30" s="751"/>
      <c r="AD30" s="751"/>
      <c r="AE30" s="751"/>
      <c r="AF30" s="751"/>
      <c r="AG30" s="1"/>
      <c r="AI30"/>
      <c r="AJ30"/>
      <c r="AK30"/>
    </row>
    <row r="31" spans="2:37" ht="15" hidden="1" customHeight="1" x14ac:dyDescent="0.25">
      <c r="B31" s="1241"/>
      <c r="C31" s="45"/>
      <c r="D31" s="113">
        <v>914</v>
      </c>
      <c r="E31" s="11"/>
      <c r="F31" s="146">
        <v>2402914</v>
      </c>
      <c r="G31" s="747" t="s">
        <v>509</v>
      </c>
      <c r="H31" s="29">
        <v>0</v>
      </c>
      <c r="I31" s="7">
        <v>0</v>
      </c>
      <c r="J31" s="7">
        <v>0</v>
      </c>
      <c r="K31" s="234" t="str">
        <f t="shared" si="1"/>
        <v>0,00%</v>
      </c>
      <c r="L31" s="29">
        <v>0</v>
      </c>
      <c r="M31" s="156">
        <f t="shared" si="2"/>
        <v>0</v>
      </c>
      <c r="N31" s="29">
        <v>0</v>
      </c>
      <c r="O31" s="156">
        <f t="shared" si="5"/>
        <v>0</v>
      </c>
      <c r="P31" s="749">
        <v>0</v>
      </c>
      <c r="Q31" s="7">
        <f t="shared" si="0"/>
        <v>0</v>
      </c>
      <c r="R31" s="1242" t="str">
        <f t="shared" si="4"/>
        <v>0,0%</v>
      </c>
      <c r="S31" s="1242"/>
      <c r="T31" s="750">
        <v>0</v>
      </c>
      <c r="U31" s="750">
        <v>0</v>
      </c>
      <c r="V31" s="7">
        <v>0</v>
      </c>
      <c r="W31" s="1055">
        <v>0</v>
      </c>
      <c r="X31" s="751">
        <v>0</v>
      </c>
      <c r="Y31" s="751">
        <v>0</v>
      </c>
      <c r="Z31" s="751">
        <v>0</v>
      </c>
      <c r="AA31" s="751"/>
      <c r="AB31" s="751">
        <v>0</v>
      </c>
      <c r="AC31" s="751"/>
      <c r="AD31" s="751"/>
      <c r="AE31" s="751"/>
      <c r="AF31" s="751"/>
      <c r="AG31" s="1"/>
      <c r="AI31"/>
      <c r="AJ31"/>
      <c r="AK31"/>
    </row>
    <row r="32" spans="2:37" ht="15" customHeight="1" x14ac:dyDescent="0.25">
      <c r="B32" s="1239">
        <v>25</v>
      </c>
      <c r="C32" s="9"/>
      <c r="D32" s="329"/>
      <c r="E32" s="30"/>
      <c r="F32" s="145"/>
      <c r="G32" s="742" t="s">
        <v>515</v>
      </c>
      <c r="H32" s="2">
        <f>+H33</f>
        <v>0</v>
      </c>
      <c r="I32" s="2">
        <f>+I33</f>
        <v>0</v>
      </c>
      <c r="J32" s="2">
        <f ca="1">+J33</f>
        <v>0</v>
      </c>
      <c r="K32" s="753" t="str">
        <f t="shared" ref="K32:K33" ca="1" si="6">IFERROR(J32/I32,"0,0%")</f>
        <v>0,0%</v>
      </c>
      <c r="L32" s="2">
        <f>+L33</f>
        <v>0</v>
      </c>
      <c r="M32" s="226">
        <f t="shared" si="2"/>
        <v>0</v>
      </c>
      <c r="N32" s="2">
        <f>+N33</f>
        <v>0</v>
      </c>
      <c r="O32" s="753">
        <f t="shared" si="5"/>
        <v>0</v>
      </c>
      <c r="P32" s="320">
        <v>0</v>
      </c>
      <c r="Q32" s="320">
        <f>+Q33</f>
        <v>156300</v>
      </c>
      <c r="R32" s="1240" t="str">
        <f>IFERROR(Q32/P32,"0,0%")</f>
        <v>0,0%</v>
      </c>
      <c r="S32" s="1240"/>
      <c r="T32" s="754">
        <f>+T33</f>
        <v>156300</v>
      </c>
      <c r="U32" s="745">
        <v>0</v>
      </c>
      <c r="V32" s="8">
        <v>0</v>
      </c>
      <c r="W32" s="1054">
        <f>+W33</f>
        <v>2184421</v>
      </c>
      <c r="X32" s="2">
        <v>0</v>
      </c>
      <c r="Y32" s="8">
        <v>0</v>
      </c>
      <c r="Z32" s="8">
        <v>0</v>
      </c>
      <c r="AA32" s="8">
        <v>0</v>
      </c>
      <c r="AB32" s="2">
        <v>0</v>
      </c>
      <c r="AC32" s="2">
        <v>0</v>
      </c>
      <c r="AD32" s="8">
        <v>0</v>
      </c>
      <c r="AE32" s="8">
        <v>0</v>
      </c>
      <c r="AF32" s="8">
        <f>+AF33</f>
        <v>-2334421</v>
      </c>
      <c r="AG32" s="1"/>
      <c r="AI32"/>
      <c r="AJ32"/>
      <c r="AK32"/>
    </row>
    <row r="33" spans="2:37" ht="15" customHeight="1" x14ac:dyDescent="0.25">
      <c r="B33" s="1243"/>
      <c r="C33" s="45">
        <v>99</v>
      </c>
      <c r="D33" s="303"/>
      <c r="E33" s="14"/>
      <c r="F33" s="146"/>
      <c r="G33" s="747" t="s">
        <v>514</v>
      </c>
      <c r="H33" s="7">
        <v>0</v>
      </c>
      <c r="I33" s="112">
        <v>0</v>
      </c>
      <c r="J33" s="112">
        <f ca="1">SUMIF(T$3:$AF4,"ok",T33:AF33)</f>
        <v>0</v>
      </c>
      <c r="K33" s="234" t="str">
        <f t="shared" ca="1" si="6"/>
        <v>0,0%</v>
      </c>
      <c r="L33" s="29">
        <v>0</v>
      </c>
      <c r="M33" s="234">
        <f t="shared" si="2"/>
        <v>0</v>
      </c>
      <c r="N33" s="29">
        <f>+I33-L33</f>
        <v>0</v>
      </c>
      <c r="O33" s="234">
        <f t="shared" si="5"/>
        <v>0</v>
      </c>
      <c r="P33" s="321">
        <f>+'P05 2024'!F3</f>
        <v>0.10420000000000001</v>
      </c>
      <c r="Q33" s="321">
        <f>SUMIF(S$3:$AF3,"SI",S33:AF33)</f>
        <v>156300</v>
      </c>
      <c r="R33" s="1244">
        <v>1</v>
      </c>
      <c r="S33" s="1244"/>
      <c r="T33" s="755">
        <f>+'P05 2024'!H4</f>
        <v>156300</v>
      </c>
      <c r="U33" s="764">
        <v>0</v>
      </c>
      <c r="V33" s="7">
        <v>0</v>
      </c>
      <c r="W33" s="1056">
        <f>+'P05 2024'!AD3</f>
        <v>2184421</v>
      </c>
      <c r="X33" s="7">
        <v>0</v>
      </c>
      <c r="Y33" s="7">
        <v>0</v>
      </c>
      <c r="Z33" s="7">
        <v>0</v>
      </c>
      <c r="AA33" s="7">
        <v>0</v>
      </c>
      <c r="AB33" s="7">
        <v>0</v>
      </c>
      <c r="AC33" s="7">
        <v>0</v>
      </c>
      <c r="AD33" s="7">
        <v>0</v>
      </c>
      <c r="AE33" s="7">
        <v>0</v>
      </c>
      <c r="AF33" s="7">
        <f>+'P05 2024'!EL3</f>
        <v>-2334421</v>
      </c>
      <c r="AG33" s="1"/>
      <c r="AI33"/>
      <c r="AJ33"/>
      <c r="AK33"/>
    </row>
    <row r="34" spans="2:37" ht="15" customHeight="1" x14ac:dyDescent="0.25">
      <c r="B34" s="1239">
        <v>33</v>
      </c>
      <c r="C34" s="9" t="s">
        <v>2</v>
      </c>
      <c r="D34" s="326"/>
      <c r="E34" s="10"/>
      <c r="F34" s="63"/>
      <c r="G34" s="742" t="s">
        <v>149</v>
      </c>
      <c r="H34" s="208">
        <f>+H35+H58</f>
        <v>102489437</v>
      </c>
      <c r="I34" s="208">
        <f>+I35+I58</f>
        <v>56092645</v>
      </c>
      <c r="J34" s="225">
        <f ca="1">+J35+J58</f>
        <v>0</v>
      </c>
      <c r="K34" s="753">
        <f ca="1">IFERROR(J34/I34,"0,0%")</f>
        <v>0</v>
      </c>
      <c r="L34" s="225">
        <f>+L35</f>
        <v>0</v>
      </c>
      <c r="M34" s="226">
        <f>IFERROR(L34/I34,0)</f>
        <v>0</v>
      </c>
      <c r="N34" s="2">
        <f>+I34-L34</f>
        <v>56092645</v>
      </c>
      <c r="O34" s="753">
        <f>+IFERROR(N34/I34,0)</f>
        <v>1</v>
      </c>
      <c r="P34" s="442">
        <f>+P35+P58</f>
        <v>82012635.648000002</v>
      </c>
      <c r="Q34" s="208">
        <f ca="1">+Q35+Q58</f>
        <v>0</v>
      </c>
      <c r="R34" s="1245">
        <f ca="1">IFERROR(Q34/P34,"0,00%")</f>
        <v>0</v>
      </c>
      <c r="S34" s="1245"/>
      <c r="T34" s="756">
        <v>0</v>
      </c>
      <c r="U34" s="756">
        <v>0</v>
      </c>
      <c r="V34" s="225">
        <v>0</v>
      </c>
      <c r="W34" s="1057">
        <v>0</v>
      </c>
      <c r="X34" s="225">
        <v>0</v>
      </c>
      <c r="Y34" s="225">
        <v>0</v>
      </c>
      <c r="Z34" s="225">
        <v>0</v>
      </c>
      <c r="AA34" s="225">
        <v>0</v>
      </c>
      <c r="AB34" s="225">
        <v>0</v>
      </c>
      <c r="AC34" s="225">
        <v>0</v>
      </c>
      <c r="AD34" s="225">
        <v>0</v>
      </c>
      <c r="AE34" s="225">
        <v>0</v>
      </c>
      <c r="AF34" s="225">
        <v>0</v>
      </c>
      <c r="AG34" s="1"/>
      <c r="AK34"/>
    </row>
    <row r="35" spans="2:37" ht="15" customHeight="1" x14ac:dyDescent="0.25">
      <c r="B35" s="1239"/>
      <c r="C35" s="12" t="s">
        <v>162</v>
      </c>
      <c r="D35" s="327"/>
      <c r="E35" s="10"/>
      <c r="F35" s="63"/>
      <c r="G35" s="742" t="s">
        <v>86</v>
      </c>
      <c r="H35" s="208">
        <f>SUM(H36:H57)</f>
        <v>0</v>
      </c>
      <c r="I35" s="208">
        <f>SUM(I36:I57)</f>
        <v>5359472</v>
      </c>
      <c r="J35" s="208">
        <f ca="1">SUM(J36:J57)</f>
        <v>0</v>
      </c>
      <c r="K35" s="753">
        <f ca="1">IFERROR(J35/I35,"0,0%")</f>
        <v>0</v>
      </c>
      <c r="L35" s="225">
        <f>SUM(L36:L57)</f>
        <v>0</v>
      </c>
      <c r="M35" s="226">
        <f>IFERROR(L35/I35,0)</f>
        <v>0</v>
      </c>
      <c r="N35" s="208">
        <f>+I35-L35</f>
        <v>5359472</v>
      </c>
      <c r="O35" s="753">
        <f t="shared" si="5"/>
        <v>1</v>
      </c>
      <c r="P35" s="442">
        <f>+SUM(P36:P57)</f>
        <v>0</v>
      </c>
      <c r="Q35" s="208">
        <f ca="1">SUM(Q36:Q57)</f>
        <v>0</v>
      </c>
      <c r="R35" s="575" t="str">
        <f t="shared" ref="R35:R56" ca="1" si="7">IFERROR(Q35/P35,"0.00%")</f>
        <v>0.00%</v>
      </c>
      <c r="S35" s="575"/>
      <c r="T35" s="757">
        <v>0</v>
      </c>
      <c r="U35" s="757">
        <v>0</v>
      </c>
      <c r="V35" s="225">
        <v>0</v>
      </c>
      <c r="W35" s="1057">
        <v>0</v>
      </c>
      <c r="X35" s="225">
        <v>0</v>
      </c>
      <c r="Y35" s="225">
        <v>0</v>
      </c>
      <c r="Z35" s="225">
        <v>0</v>
      </c>
      <c r="AA35" s="225">
        <v>0</v>
      </c>
      <c r="AB35" s="225">
        <v>0</v>
      </c>
      <c r="AC35" s="225">
        <v>0</v>
      </c>
      <c r="AD35" s="225">
        <v>0</v>
      </c>
      <c r="AE35" s="225">
        <v>0</v>
      </c>
      <c r="AF35" s="225">
        <f>+AF53</f>
        <v>0</v>
      </c>
      <c r="AG35" s="1"/>
      <c r="AI35"/>
      <c r="AJ35"/>
      <c r="AK35"/>
    </row>
    <row r="36" spans="2:37" ht="15" hidden="1" customHeight="1" x14ac:dyDescent="0.25">
      <c r="B36" s="1241"/>
      <c r="C36" s="13"/>
      <c r="D36" s="113" t="s">
        <v>167</v>
      </c>
      <c r="E36" s="14"/>
      <c r="F36" s="146">
        <v>3302001</v>
      </c>
      <c r="G36" s="747" t="s">
        <v>494</v>
      </c>
      <c r="H36" s="112">
        <v>0</v>
      </c>
      <c r="I36" s="112">
        <v>0</v>
      </c>
      <c r="J36" s="112">
        <f ca="1">SUMIF(T$3:$AF11,"ok",T36:AF36)</f>
        <v>0</v>
      </c>
      <c r="K36" s="234" t="str">
        <f ca="1">IFERROR(J36/I36,"0,00%")</f>
        <v>0,00%</v>
      </c>
      <c r="L36" s="115">
        <v>0</v>
      </c>
      <c r="M36" s="227">
        <f t="shared" ref="M36:M58" si="8">IFERROR(L36/I36,0)</f>
        <v>0</v>
      </c>
      <c r="N36" s="115">
        <v>0</v>
      </c>
      <c r="O36" s="227">
        <f>+IFERROR(N36/I36,0)</f>
        <v>0</v>
      </c>
      <c r="P36" s="322">
        <v>0</v>
      </c>
      <c r="Q36" s="322">
        <f>SUMIF(V$3:$AF3,"SI",V36:AF36)</f>
        <v>0</v>
      </c>
      <c r="R36" s="1246" t="str">
        <f t="shared" si="7"/>
        <v>0.00%</v>
      </c>
      <c r="S36" s="1246"/>
      <c r="T36" s="758">
        <v>0</v>
      </c>
      <c r="U36" s="758">
        <v>0</v>
      </c>
      <c r="V36" s="112">
        <v>0</v>
      </c>
      <c r="W36" s="1058">
        <v>0</v>
      </c>
      <c r="X36" s="112">
        <v>0</v>
      </c>
      <c r="Y36" s="112">
        <v>0</v>
      </c>
      <c r="Z36" s="112">
        <v>0</v>
      </c>
      <c r="AA36" s="112"/>
      <c r="AB36" s="112">
        <v>0</v>
      </c>
      <c r="AC36" s="112"/>
      <c r="AD36" s="112"/>
      <c r="AE36" s="112"/>
      <c r="AF36" s="112"/>
      <c r="AG36" s="1"/>
      <c r="AI36"/>
      <c r="AJ36"/>
      <c r="AK36"/>
    </row>
    <row r="37" spans="2:37" ht="15" hidden="1" customHeight="1" x14ac:dyDescent="0.25">
      <c r="B37" s="1241"/>
      <c r="C37" s="13"/>
      <c r="D37" s="113" t="s">
        <v>163</v>
      </c>
      <c r="E37" s="14"/>
      <c r="F37" s="146">
        <v>3302002</v>
      </c>
      <c r="G37" s="747" t="s">
        <v>487</v>
      </c>
      <c r="H37" s="112">
        <v>0</v>
      </c>
      <c r="I37" s="112">
        <v>0</v>
      </c>
      <c r="J37" s="112">
        <f ca="1">SUMIF(T$3:$AF12,"ok",T37:AF37)</f>
        <v>0</v>
      </c>
      <c r="K37" s="234" t="str">
        <f t="shared" ref="K37:K56" ca="1" si="9">IFERROR(J37/I37,"0,00%")</f>
        <v>0,00%</v>
      </c>
      <c r="L37" s="115">
        <v>0</v>
      </c>
      <c r="M37" s="227">
        <f t="shared" si="8"/>
        <v>0</v>
      </c>
      <c r="N37" s="115">
        <v>0</v>
      </c>
      <c r="O37" s="227">
        <f t="shared" ref="O37:O56" si="10">+IFERROR(N37/I37,0)</f>
        <v>0</v>
      </c>
      <c r="P37" s="322">
        <v>0</v>
      </c>
      <c r="Q37" s="322">
        <f ca="1">SUMIF(V$3:$AF4,"SI",V37:AF37)</f>
        <v>0</v>
      </c>
      <c r="R37" s="1246" t="str">
        <f t="shared" ca="1" si="7"/>
        <v>0.00%</v>
      </c>
      <c r="S37" s="1246"/>
      <c r="T37" s="758">
        <v>0</v>
      </c>
      <c r="U37" s="758">
        <v>0</v>
      </c>
      <c r="V37" s="112">
        <v>0</v>
      </c>
      <c r="W37" s="1058">
        <v>0</v>
      </c>
      <c r="X37" s="112">
        <v>0</v>
      </c>
      <c r="Y37" s="112">
        <v>0</v>
      </c>
      <c r="Z37" s="112">
        <v>0</v>
      </c>
      <c r="AA37" s="112"/>
      <c r="AB37" s="112">
        <v>0</v>
      </c>
      <c r="AC37" s="112"/>
      <c r="AD37" s="112"/>
      <c r="AE37" s="112"/>
      <c r="AF37" s="112"/>
      <c r="AG37" s="1"/>
      <c r="AI37"/>
      <c r="AJ37"/>
      <c r="AK37"/>
    </row>
    <row r="38" spans="2:37" ht="15" hidden="1" customHeight="1" x14ac:dyDescent="0.25">
      <c r="B38" s="1241"/>
      <c r="C38" s="13"/>
      <c r="D38" s="113" t="s">
        <v>164</v>
      </c>
      <c r="E38" s="14"/>
      <c r="F38" s="146">
        <v>3302003</v>
      </c>
      <c r="G38" s="747" t="s">
        <v>486</v>
      </c>
      <c r="H38" s="112">
        <v>0</v>
      </c>
      <c r="I38" s="112">
        <v>0</v>
      </c>
      <c r="J38" s="112">
        <f ca="1">SUMIF(T$3:$AF13,"ok",T38:AF38)</f>
        <v>0</v>
      </c>
      <c r="K38" s="234" t="str">
        <f t="shared" ca="1" si="9"/>
        <v>0,00%</v>
      </c>
      <c r="L38" s="115">
        <v>0</v>
      </c>
      <c r="M38" s="227">
        <f t="shared" si="8"/>
        <v>0</v>
      </c>
      <c r="N38" s="115">
        <v>0</v>
      </c>
      <c r="O38" s="227">
        <f t="shared" si="10"/>
        <v>0</v>
      </c>
      <c r="P38" s="322">
        <v>0</v>
      </c>
      <c r="Q38" s="322">
        <f ca="1">SUMIF(V$3:$AF5,"SI",V38:AF38)</f>
        <v>0</v>
      </c>
      <c r="R38" s="1246" t="str">
        <f t="shared" ca="1" si="7"/>
        <v>0.00%</v>
      </c>
      <c r="S38" s="1246"/>
      <c r="T38" s="758">
        <v>0</v>
      </c>
      <c r="U38" s="758">
        <v>0</v>
      </c>
      <c r="V38" s="112">
        <v>0</v>
      </c>
      <c r="W38" s="1058">
        <v>0</v>
      </c>
      <c r="X38" s="112">
        <v>0</v>
      </c>
      <c r="Y38" s="112">
        <v>0</v>
      </c>
      <c r="Z38" s="112">
        <v>0</v>
      </c>
      <c r="AA38" s="112"/>
      <c r="AB38" s="112">
        <v>0</v>
      </c>
      <c r="AC38" s="112"/>
      <c r="AD38" s="112"/>
      <c r="AE38" s="112"/>
      <c r="AF38" s="112"/>
      <c r="AG38" s="1"/>
      <c r="AI38"/>
      <c r="AJ38"/>
      <c r="AK38"/>
    </row>
    <row r="39" spans="2:37" ht="15" hidden="1" customHeight="1" x14ac:dyDescent="0.25">
      <c r="B39" s="1241"/>
      <c r="C39" s="13"/>
      <c r="D39" s="113" t="s">
        <v>177</v>
      </c>
      <c r="E39" s="14"/>
      <c r="F39" s="146">
        <v>3302004</v>
      </c>
      <c r="G39" s="747" t="s">
        <v>485</v>
      </c>
      <c r="H39" s="112">
        <v>0</v>
      </c>
      <c r="I39" s="112">
        <v>0</v>
      </c>
      <c r="J39" s="112">
        <f ca="1">SUMIF(T$3:$AF14,"ok",T39:AF39)</f>
        <v>0</v>
      </c>
      <c r="K39" s="234" t="str">
        <f t="shared" ca="1" si="9"/>
        <v>0,00%</v>
      </c>
      <c r="L39" s="115">
        <v>0</v>
      </c>
      <c r="M39" s="227">
        <f t="shared" si="8"/>
        <v>0</v>
      </c>
      <c r="N39" s="115">
        <v>0</v>
      </c>
      <c r="O39" s="227">
        <f t="shared" si="10"/>
        <v>0</v>
      </c>
      <c r="P39" s="322">
        <v>0</v>
      </c>
      <c r="Q39" s="322">
        <f ca="1">SUMIF(V$3:$AF6,"SI",V39:AF39)</f>
        <v>0</v>
      </c>
      <c r="R39" s="1246" t="str">
        <f t="shared" ca="1" si="7"/>
        <v>0.00%</v>
      </c>
      <c r="S39" s="1246"/>
      <c r="T39" s="758">
        <v>0</v>
      </c>
      <c r="U39" s="758">
        <v>0</v>
      </c>
      <c r="V39" s="112">
        <v>0</v>
      </c>
      <c r="W39" s="1058">
        <v>0</v>
      </c>
      <c r="X39" s="112">
        <v>0</v>
      </c>
      <c r="Y39" s="112">
        <v>0</v>
      </c>
      <c r="Z39" s="112">
        <v>0</v>
      </c>
      <c r="AA39" s="112"/>
      <c r="AB39" s="112">
        <v>0</v>
      </c>
      <c r="AC39" s="112"/>
      <c r="AD39" s="112"/>
      <c r="AE39" s="112"/>
      <c r="AF39" s="112"/>
      <c r="AG39" s="1"/>
      <c r="AI39"/>
      <c r="AJ39"/>
      <c r="AK39"/>
    </row>
    <row r="40" spans="2:37" ht="15" hidden="1" customHeight="1" x14ac:dyDescent="0.25">
      <c r="B40" s="1241"/>
      <c r="C40" s="13"/>
      <c r="D40" s="113" t="s">
        <v>178</v>
      </c>
      <c r="E40" s="14"/>
      <c r="F40" s="146">
        <v>3302005</v>
      </c>
      <c r="G40" s="747" t="s">
        <v>488</v>
      </c>
      <c r="H40" s="112">
        <v>0</v>
      </c>
      <c r="I40" s="112">
        <v>0</v>
      </c>
      <c r="J40" s="112">
        <f ca="1">SUMIF(T$3:$AF15,"ok",T40:AF40)</f>
        <v>0</v>
      </c>
      <c r="K40" s="234" t="str">
        <f t="shared" ca="1" si="9"/>
        <v>0,00%</v>
      </c>
      <c r="L40" s="115">
        <v>0</v>
      </c>
      <c r="M40" s="227">
        <f t="shared" si="8"/>
        <v>0</v>
      </c>
      <c r="N40" s="115">
        <v>0</v>
      </c>
      <c r="O40" s="227">
        <f t="shared" si="10"/>
        <v>0</v>
      </c>
      <c r="P40" s="322">
        <v>0</v>
      </c>
      <c r="Q40" s="322">
        <f ca="1">SUMIF(V$3:$AF7,"SI",V40:AF40)</f>
        <v>0</v>
      </c>
      <c r="R40" s="1246" t="str">
        <f t="shared" ca="1" si="7"/>
        <v>0.00%</v>
      </c>
      <c r="S40" s="1246"/>
      <c r="T40" s="758">
        <v>0</v>
      </c>
      <c r="U40" s="758">
        <v>0</v>
      </c>
      <c r="V40" s="112">
        <v>0</v>
      </c>
      <c r="W40" s="1058">
        <v>0</v>
      </c>
      <c r="X40" s="112">
        <v>0</v>
      </c>
      <c r="Y40" s="112">
        <v>0</v>
      </c>
      <c r="Z40" s="112">
        <v>0</v>
      </c>
      <c r="AA40" s="112"/>
      <c r="AB40" s="112">
        <v>0</v>
      </c>
      <c r="AC40" s="112"/>
      <c r="AD40" s="112"/>
      <c r="AE40" s="112"/>
      <c r="AF40" s="112"/>
      <c r="AG40" s="1"/>
      <c r="AI40"/>
      <c r="AJ40"/>
      <c r="AK40"/>
    </row>
    <row r="41" spans="2:37" ht="15" hidden="1" customHeight="1" x14ac:dyDescent="0.25">
      <c r="B41" s="1241"/>
      <c r="C41" s="13"/>
      <c r="D41" s="113" t="s">
        <v>179</v>
      </c>
      <c r="E41" s="14"/>
      <c r="F41" s="146">
        <v>3302006</v>
      </c>
      <c r="G41" s="747" t="s">
        <v>673</v>
      </c>
      <c r="H41" s="112">
        <v>0</v>
      </c>
      <c r="I41" s="112">
        <v>0</v>
      </c>
      <c r="J41" s="112">
        <f ca="1">SUMIF(T$3:$AF16,"ok",T41:AF41)</f>
        <v>0</v>
      </c>
      <c r="K41" s="234" t="str">
        <f t="shared" ca="1" si="9"/>
        <v>0,00%</v>
      </c>
      <c r="L41" s="115">
        <v>0</v>
      </c>
      <c r="M41" s="227">
        <f t="shared" si="8"/>
        <v>0</v>
      </c>
      <c r="N41" s="115">
        <v>0</v>
      </c>
      <c r="O41" s="227">
        <f t="shared" si="10"/>
        <v>0</v>
      </c>
      <c r="P41" s="322">
        <v>0</v>
      </c>
      <c r="Q41" s="322">
        <f ca="1">SUMIF(V$3:$AF8,"SI",V41:AF41)</f>
        <v>0</v>
      </c>
      <c r="R41" s="1246" t="str">
        <f t="shared" ca="1" si="7"/>
        <v>0.00%</v>
      </c>
      <c r="S41" s="1246"/>
      <c r="T41" s="758">
        <v>0</v>
      </c>
      <c r="U41" s="758">
        <v>0</v>
      </c>
      <c r="V41" s="112">
        <v>0</v>
      </c>
      <c r="W41" s="1058">
        <v>0</v>
      </c>
      <c r="X41" s="112">
        <v>0</v>
      </c>
      <c r="Y41" s="112">
        <v>0</v>
      </c>
      <c r="Z41" s="112">
        <v>0</v>
      </c>
      <c r="AA41" s="112"/>
      <c r="AB41" s="112">
        <v>0</v>
      </c>
      <c r="AC41" s="112"/>
      <c r="AD41" s="112"/>
      <c r="AE41" s="112"/>
      <c r="AF41" s="112"/>
      <c r="AG41" s="1"/>
      <c r="AI41"/>
      <c r="AJ41"/>
      <c r="AK41"/>
    </row>
    <row r="42" spans="2:37" ht="15" hidden="1" customHeight="1" x14ac:dyDescent="0.25">
      <c r="B42" s="1241"/>
      <c r="C42" s="13"/>
      <c r="D42" s="113" t="s">
        <v>168</v>
      </c>
      <c r="E42" s="14"/>
      <c r="F42" s="146">
        <v>3302007</v>
      </c>
      <c r="G42" s="747" t="s">
        <v>489</v>
      </c>
      <c r="H42" s="112">
        <v>0</v>
      </c>
      <c r="I42" s="112">
        <v>0</v>
      </c>
      <c r="J42" s="112">
        <f ca="1">SUMIF(T$3:$AF17,"ok",T42:AF42)</f>
        <v>0</v>
      </c>
      <c r="K42" s="234" t="str">
        <f t="shared" ca="1" si="9"/>
        <v>0,00%</v>
      </c>
      <c r="L42" s="115">
        <v>0</v>
      </c>
      <c r="M42" s="227">
        <f t="shared" si="8"/>
        <v>0</v>
      </c>
      <c r="N42" s="115">
        <v>0</v>
      </c>
      <c r="O42" s="227">
        <f t="shared" si="10"/>
        <v>0</v>
      </c>
      <c r="P42" s="322">
        <v>0</v>
      </c>
      <c r="Q42" s="322">
        <f ca="1">SUMIF(V$3:$AF9,"SI",V42:AF42)</f>
        <v>0</v>
      </c>
      <c r="R42" s="1246" t="str">
        <f t="shared" ca="1" si="7"/>
        <v>0.00%</v>
      </c>
      <c r="S42" s="1246"/>
      <c r="T42" s="758">
        <v>0</v>
      </c>
      <c r="U42" s="758">
        <v>0</v>
      </c>
      <c r="V42" s="112">
        <v>0</v>
      </c>
      <c r="W42" s="1058">
        <v>0</v>
      </c>
      <c r="X42" s="112">
        <v>0</v>
      </c>
      <c r="Y42" s="112">
        <v>0</v>
      </c>
      <c r="Z42" s="112">
        <v>0</v>
      </c>
      <c r="AA42" s="112"/>
      <c r="AB42" s="112">
        <v>0</v>
      </c>
      <c r="AC42" s="112"/>
      <c r="AD42" s="112"/>
      <c r="AE42" s="112"/>
      <c r="AF42" s="112"/>
      <c r="AG42" s="76"/>
      <c r="AI42"/>
      <c r="AJ42"/>
      <c r="AK42"/>
    </row>
    <row r="43" spans="2:37" ht="15" hidden="1" customHeight="1" x14ac:dyDescent="0.25">
      <c r="B43" s="1241"/>
      <c r="C43" s="13"/>
      <c r="D43" s="113" t="s">
        <v>169</v>
      </c>
      <c r="E43" s="14"/>
      <c r="F43" s="146">
        <v>3302008</v>
      </c>
      <c r="G43" s="747" t="s">
        <v>495</v>
      </c>
      <c r="H43" s="112">
        <v>0</v>
      </c>
      <c r="I43" s="112">
        <v>0</v>
      </c>
      <c r="J43" s="112">
        <f ca="1">SUMIF(T$3:$AF18,"ok",T43:AF43)</f>
        <v>0</v>
      </c>
      <c r="K43" s="234" t="str">
        <f t="shared" ca="1" si="9"/>
        <v>0,00%</v>
      </c>
      <c r="L43" s="115">
        <v>0</v>
      </c>
      <c r="M43" s="227">
        <f t="shared" si="8"/>
        <v>0</v>
      </c>
      <c r="N43" s="115">
        <v>0</v>
      </c>
      <c r="O43" s="227">
        <f t="shared" si="10"/>
        <v>0</v>
      </c>
      <c r="P43" s="322">
        <v>0</v>
      </c>
      <c r="Q43" s="322">
        <f ca="1">SUMIF(V$3:$AF10,"SI",V43:AF43)</f>
        <v>0</v>
      </c>
      <c r="R43" s="1246" t="str">
        <f ca="1">IFERROR(Q43/P43,"0,0%")</f>
        <v>0,0%</v>
      </c>
      <c r="S43" s="1246"/>
      <c r="T43" s="758">
        <v>0</v>
      </c>
      <c r="U43" s="758">
        <v>0</v>
      </c>
      <c r="V43" s="112">
        <v>0</v>
      </c>
      <c r="W43" s="1058">
        <v>0</v>
      </c>
      <c r="X43" s="112">
        <v>0</v>
      </c>
      <c r="Y43" s="112">
        <v>0</v>
      </c>
      <c r="Z43" s="112">
        <v>0</v>
      </c>
      <c r="AA43" s="112"/>
      <c r="AB43" s="112">
        <v>0</v>
      </c>
      <c r="AC43" s="112"/>
      <c r="AD43" s="112"/>
      <c r="AE43" s="112"/>
      <c r="AF43" s="112"/>
      <c r="AG43" s="76"/>
      <c r="AI43"/>
      <c r="AJ43"/>
      <c r="AK43"/>
    </row>
    <row r="44" spans="2:37" ht="15" hidden="1" customHeight="1" x14ac:dyDescent="0.25">
      <c r="B44" s="1241"/>
      <c r="C44" s="13"/>
      <c r="D44" s="113" t="s">
        <v>170</v>
      </c>
      <c r="E44" s="14"/>
      <c r="F44" s="146">
        <v>3302009</v>
      </c>
      <c r="G44" s="747" t="s">
        <v>496</v>
      </c>
      <c r="H44" s="112">
        <v>0</v>
      </c>
      <c r="I44" s="112">
        <v>0</v>
      </c>
      <c r="J44" s="112">
        <f ca="1">SUMIF(T$3:$AF19,"ok",T44:AF44)</f>
        <v>0</v>
      </c>
      <c r="K44" s="234" t="str">
        <f t="shared" ca="1" si="9"/>
        <v>0,00%</v>
      </c>
      <c r="L44" s="115">
        <v>0</v>
      </c>
      <c r="M44" s="227">
        <f t="shared" si="8"/>
        <v>0</v>
      </c>
      <c r="N44" s="115">
        <v>0</v>
      </c>
      <c r="O44" s="227">
        <f t="shared" si="10"/>
        <v>0</v>
      </c>
      <c r="P44" s="322">
        <v>0</v>
      </c>
      <c r="Q44" s="322">
        <f ca="1">SUMIF(V$3:$AF11,"SI",V44:AF44)</f>
        <v>0</v>
      </c>
      <c r="R44" s="1246" t="str">
        <f t="shared" ca="1" si="7"/>
        <v>0.00%</v>
      </c>
      <c r="S44" s="1246"/>
      <c r="T44" s="758">
        <v>0</v>
      </c>
      <c r="U44" s="758">
        <v>0</v>
      </c>
      <c r="V44" s="112">
        <v>0</v>
      </c>
      <c r="W44" s="1058">
        <v>0</v>
      </c>
      <c r="X44" s="112">
        <v>0</v>
      </c>
      <c r="Y44" s="112">
        <v>0</v>
      </c>
      <c r="Z44" s="112">
        <v>0</v>
      </c>
      <c r="AA44" s="112"/>
      <c r="AB44" s="112">
        <v>0</v>
      </c>
      <c r="AC44" s="112"/>
      <c r="AD44" s="112"/>
      <c r="AE44" s="112"/>
      <c r="AF44" s="112"/>
      <c r="AG44" s="76"/>
      <c r="AI44"/>
      <c r="AJ44"/>
      <c r="AK44"/>
    </row>
    <row r="45" spans="2:37" ht="15" hidden="1" customHeight="1" x14ac:dyDescent="0.25">
      <c r="B45" s="1241"/>
      <c r="C45" s="13"/>
      <c r="D45" s="113" t="s">
        <v>171</v>
      </c>
      <c r="E45" s="14"/>
      <c r="F45" s="146">
        <v>3302010</v>
      </c>
      <c r="G45" s="747" t="s">
        <v>497</v>
      </c>
      <c r="H45" s="112">
        <v>0</v>
      </c>
      <c r="I45" s="112">
        <v>0</v>
      </c>
      <c r="J45" s="112">
        <f ca="1">SUMIF(T$3:$AF20,"ok",T45:AF45)</f>
        <v>0</v>
      </c>
      <c r="K45" s="234" t="str">
        <f t="shared" ca="1" si="9"/>
        <v>0,00%</v>
      </c>
      <c r="L45" s="115">
        <v>0</v>
      </c>
      <c r="M45" s="227">
        <f t="shared" si="8"/>
        <v>0</v>
      </c>
      <c r="N45" s="115">
        <v>0</v>
      </c>
      <c r="O45" s="227">
        <f t="shared" si="10"/>
        <v>0</v>
      </c>
      <c r="P45" s="322">
        <v>0</v>
      </c>
      <c r="Q45" s="322">
        <f ca="1">SUMIF(V$3:$AF12,"SI",V45:AF45)</f>
        <v>0</v>
      </c>
      <c r="R45" s="1246" t="str">
        <f t="shared" ca="1" si="7"/>
        <v>0.00%</v>
      </c>
      <c r="S45" s="1246"/>
      <c r="T45" s="758">
        <v>0</v>
      </c>
      <c r="U45" s="758">
        <v>0</v>
      </c>
      <c r="V45" s="112">
        <v>0</v>
      </c>
      <c r="W45" s="1058">
        <v>0</v>
      </c>
      <c r="X45" s="112">
        <v>0</v>
      </c>
      <c r="Y45" s="112">
        <v>0</v>
      </c>
      <c r="Z45" s="112">
        <v>0</v>
      </c>
      <c r="AA45" s="112"/>
      <c r="AB45" s="112">
        <v>0</v>
      </c>
      <c r="AC45" s="112"/>
      <c r="AD45" s="112"/>
      <c r="AE45" s="112"/>
      <c r="AF45" s="112"/>
      <c r="AG45" s="76"/>
      <c r="AI45"/>
      <c r="AJ45"/>
      <c r="AK45"/>
    </row>
    <row r="46" spans="2:37" ht="15" hidden="1" customHeight="1" x14ac:dyDescent="0.25">
      <c r="B46" s="1241"/>
      <c r="C46" s="13"/>
      <c r="D46" s="113" t="s">
        <v>172</v>
      </c>
      <c r="E46" s="14"/>
      <c r="F46" s="146">
        <v>3302011</v>
      </c>
      <c r="G46" s="747" t="s">
        <v>674</v>
      </c>
      <c r="H46" s="112">
        <v>0</v>
      </c>
      <c r="I46" s="112">
        <v>0</v>
      </c>
      <c r="J46" s="112">
        <f ca="1">SUMIF(T$3:$AF21,"ok",T46:AF46)</f>
        <v>0</v>
      </c>
      <c r="K46" s="234" t="str">
        <f t="shared" ca="1" si="9"/>
        <v>0,00%</v>
      </c>
      <c r="L46" s="115">
        <v>0</v>
      </c>
      <c r="M46" s="227">
        <f t="shared" si="8"/>
        <v>0</v>
      </c>
      <c r="N46" s="115">
        <v>0</v>
      </c>
      <c r="O46" s="227">
        <f t="shared" si="10"/>
        <v>0</v>
      </c>
      <c r="P46" s="322">
        <v>0</v>
      </c>
      <c r="Q46" s="322">
        <f ca="1">SUMIF(V$3:$AF13,"SI",V46:AF46)</f>
        <v>0</v>
      </c>
      <c r="R46" s="1246" t="str">
        <f t="shared" ca="1" si="7"/>
        <v>0.00%</v>
      </c>
      <c r="S46" s="1246"/>
      <c r="T46" s="758">
        <v>0</v>
      </c>
      <c r="U46" s="758">
        <v>0</v>
      </c>
      <c r="V46" s="112">
        <v>0</v>
      </c>
      <c r="W46" s="1058">
        <v>0</v>
      </c>
      <c r="X46" s="112">
        <v>0</v>
      </c>
      <c r="Y46" s="112">
        <v>0</v>
      </c>
      <c r="Z46" s="112">
        <v>0</v>
      </c>
      <c r="AA46" s="112"/>
      <c r="AB46" s="112">
        <v>0</v>
      </c>
      <c r="AC46" s="112"/>
      <c r="AD46" s="112"/>
      <c r="AE46" s="112"/>
      <c r="AF46" s="112"/>
      <c r="AG46" s="76"/>
      <c r="AI46"/>
      <c r="AJ46"/>
      <c r="AK46"/>
    </row>
    <row r="47" spans="2:37" ht="15" customHeight="1" x14ac:dyDescent="0.25">
      <c r="B47" s="1241"/>
      <c r="C47" s="13"/>
      <c r="D47" s="113" t="s">
        <v>173</v>
      </c>
      <c r="E47" s="14"/>
      <c r="F47" s="146">
        <v>3302012</v>
      </c>
      <c r="G47" s="747" t="s">
        <v>490</v>
      </c>
      <c r="H47" s="112">
        <v>0</v>
      </c>
      <c r="I47" s="112">
        <v>235000</v>
      </c>
      <c r="J47" s="112">
        <f ca="1">SUMIF(T$3:$AF22,"ok",T47:AF47)</f>
        <v>0</v>
      </c>
      <c r="K47" s="234">
        <f t="shared" ca="1" si="9"/>
        <v>0</v>
      </c>
      <c r="L47" s="115">
        <v>0</v>
      </c>
      <c r="M47" s="227">
        <f t="shared" si="8"/>
        <v>0</v>
      </c>
      <c r="N47" s="115">
        <v>0</v>
      </c>
      <c r="O47" s="227">
        <f t="shared" si="10"/>
        <v>0</v>
      </c>
      <c r="P47" s="322">
        <v>0</v>
      </c>
      <c r="Q47" s="322">
        <f ca="1">SUMIF(V$3:$AF14,"SI",V47:AF47)</f>
        <v>0</v>
      </c>
      <c r="R47" s="1246" t="str">
        <f t="shared" ca="1" si="7"/>
        <v>0.00%</v>
      </c>
      <c r="S47" s="1246"/>
      <c r="T47" s="758">
        <v>0</v>
      </c>
      <c r="U47" s="758">
        <v>0</v>
      </c>
      <c r="V47" s="112">
        <v>0</v>
      </c>
      <c r="W47" s="1058">
        <v>0</v>
      </c>
      <c r="X47" s="112">
        <v>0</v>
      </c>
      <c r="Y47" s="112">
        <v>0</v>
      </c>
      <c r="Z47" s="112">
        <v>0</v>
      </c>
      <c r="AA47" s="112"/>
      <c r="AB47" s="112">
        <v>0</v>
      </c>
      <c r="AC47" s="112"/>
      <c r="AD47" s="112"/>
      <c r="AE47" s="112"/>
      <c r="AF47" s="112"/>
      <c r="AG47" s="76"/>
      <c r="AH47" s="309"/>
      <c r="AI47"/>
      <c r="AJ47"/>
      <c r="AK47"/>
    </row>
    <row r="48" spans="2:37" ht="15" customHeight="1" x14ac:dyDescent="0.25">
      <c r="B48" s="1241"/>
      <c r="C48" s="13"/>
      <c r="D48" s="113" t="s">
        <v>174</v>
      </c>
      <c r="E48" s="14"/>
      <c r="F48" s="146">
        <v>3302013</v>
      </c>
      <c r="G48" s="747" t="s">
        <v>491</v>
      </c>
      <c r="H48" s="112">
        <v>0</v>
      </c>
      <c r="I48" s="112">
        <v>5124472</v>
      </c>
      <c r="J48" s="112">
        <f ca="1">SUMIF(T$3:$AF23,"ok",T48:AF48)</f>
        <v>0</v>
      </c>
      <c r="K48" s="234">
        <f t="shared" ca="1" si="9"/>
        <v>0</v>
      </c>
      <c r="L48" s="115">
        <v>0</v>
      </c>
      <c r="M48" s="227">
        <f t="shared" si="8"/>
        <v>0</v>
      </c>
      <c r="N48" s="115">
        <v>0</v>
      </c>
      <c r="O48" s="227">
        <f t="shared" si="10"/>
        <v>0</v>
      </c>
      <c r="P48" s="322">
        <v>0</v>
      </c>
      <c r="Q48" s="322">
        <f ca="1">SUMIF(V$3:$AF15,"SI",V48:AF48)</f>
        <v>0</v>
      </c>
      <c r="R48" s="1246" t="str">
        <f t="shared" ca="1" si="7"/>
        <v>0.00%</v>
      </c>
      <c r="S48" s="1246"/>
      <c r="T48" s="758">
        <v>0</v>
      </c>
      <c r="U48" s="758">
        <v>0</v>
      </c>
      <c r="V48" s="112">
        <v>0</v>
      </c>
      <c r="W48" s="1058">
        <v>0</v>
      </c>
      <c r="X48" s="112">
        <v>0</v>
      </c>
      <c r="Y48" s="112">
        <v>0</v>
      </c>
      <c r="Z48" s="112">
        <v>0</v>
      </c>
      <c r="AA48" s="112"/>
      <c r="AB48" s="112">
        <v>0</v>
      </c>
      <c r="AC48" s="112"/>
      <c r="AD48" s="112"/>
      <c r="AE48" s="112"/>
      <c r="AF48" s="112"/>
      <c r="AG48" s="76"/>
      <c r="AH48" s="309"/>
      <c r="AI48"/>
      <c r="AJ48"/>
      <c r="AK48"/>
    </row>
    <row r="49" spans="1:37" ht="15" hidden="1" customHeight="1" x14ac:dyDescent="0.25">
      <c r="B49" s="1241"/>
      <c r="C49" s="13"/>
      <c r="D49" s="113" t="s">
        <v>189</v>
      </c>
      <c r="E49" s="14"/>
      <c r="F49" s="146">
        <v>3302014</v>
      </c>
      <c r="G49" s="747" t="s">
        <v>492</v>
      </c>
      <c r="H49" s="112">
        <v>0</v>
      </c>
      <c r="I49" s="112">
        <v>0</v>
      </c>
      <c r="J49" s="112">
        <f ca="1">SUMIF(T$3:$AF24,"ok",T49:AF49)</f>
        <v>0</v>
      </c>
      <c r="K49" s="234" t="str">
        <f t="shared" ca="1" si="9"/>
        <v>0,00%</v>
      </c>
      <c r="L49" s="115">
        <v>0</v>
      </c>
      <c r="M49" s="227">
        <f t="shared" si="8"/>
        <v>0</v>
      </c>
      <c r="N49" s="115">
        <v>0</v>
      </c>
      <c r="O49" s="227">
        <f t="shared" si="10"/>
        <v>0</v>
      </c>
      <c r="P49" s="322">
        <v>0</v>
      </c>
      <c r="Q49" s="322">
        <f ca="1">SUMIF(V$3:$AF16,"SI",V49:AF49)</f>
        <v>0</v>
      </c>
      <c r="R49" s="1246" t="str">
        <f t="shared" ca="1" si="7"/>
        <v>0.00%</v>
      </c>
      <c r="S49" s="1246"/>
      <c r="T49" s="758">
        <v>0</v>
      </c>
      <c r="U49" s="758">
        <v>0</v>
      </c>
      <c r="V49" s="112">
        <v>0</v>
      </c>
      <c r="W49" s="1058">
        <v>0</v>
      </c>
      <c r="X49" s="112">
        <v>0</v>
      </c>
      <c r="Y49" s="112">
        <v>0</v>
      </c>
      <c r="Z49" s="112">
        <v>0</v>
      </c>
      <c r="AA49" s="112"/>
      <c r="AB49" s="112">
        <v>0</v>
      </c>
      <c r="AC49" s="112"/>
      <c r="AD49" s="112"/>
      <c r="AE49" s="112"/>
      <c r="AF49" s="112"/>
      <c r="AG49" s="76"/>
      <c r="AI49"/>
      <c r="AJ49"/>
      <c r="AK49"/>
    </row>
    <row r="50" spans="1:37" ht="15" hidden="1" customHeight="1" x14ac:dyDescent="0.25">
      <c r="B50" s="1241"/>
      <c r="C50" s="13"/>
      <c r="D50" s="113" t="s">
        <v>190</v>
      </c>
      <c r="E50" s="14"/>
      <c r="F50" s="146">
        <v>3302015</v>
      </c>
      <c r="G50" s="747" t="s">
        <v>493</v>
      </c>
      <c r="H50" s="112">
        <v>0</v>
      </c>
      <c r="I50" s="112">
        <v>0</v>
      </c>
      <c r="J50" s="112">
        <f ca="1">SUMIF(T$3:$AF25,"ok",T50:AF50)</f>
        <v>0</v>
      </c>
      <c r="K50" s="234" t="str">
        <f t="shared" ca="1" si="9"/>
        <v>0,00%</v>
      </c>
      <c r="L50" s="115">
        <v>0</v>
      </c>
      <c r="M50" s="227">
        <f t="shared" si="8"/>
        <v>0</v>
      </c>
      <c r="N50" s="115">
        <v>0</v>
      </c>
      <c r="O50" s="227">
        <f t="shared" si="10"/>
        <v>0</v>
      </c>
      <c r="P50" s="322">
        <v>0</v>
      </c>
      <c r="Q50" s="322">
        <f ca="1">SUMIF(V$3:$AF17,"SI",V50:AF50)</f>
        <v>0</v>
      </c>
      <c r="R50" s="1246" t="str">
        <f t="shared" ca="1" si="7"/>
        <v>0.00%</v>
      </c>
      <c r="S50" s="1246"/>
      <c r="T50" s="758">
        <v>0</v>
      </c>
      <c r="U50" s="758">
        <v>0</v>
      </c>
      <c r="V50" s="112">
        <v>0</v>
      </c>
      <c r="W50" s="1058">
        <v>0</v>
      </c>
      <c r="X50" s="112">
        <v>0</v>
      </c>
      <c r="Y50" s="112">
        <v>0</v>
      </c>
      <c r="Z50" s="112">
        <v>0</v>
      </c>
      <c r="AA50" s="112"/>
      <c r="AB50" s="112">
        <v>0</v>
      </c>
      <c r="AC50" s="112"/>
      <c r="AD50" s="112"/>
      <c r="AE50" s="112"/>
      <c r="AF50" s="112"/>
      <c r="AG50" s="76"/>
      <c r="AI50"/>
      <c r="AJ50"/>
      <c r="AK50"/>
    </row>
    <row r="51" spans="1:37" ht="15" hidden="1" customHeight="1" x14ac:dyDescent="0.25">
      <c r="B51" s="1241"/>
      <c r="C51" s="13"/>
      <c r="D51" s="113" t="s">
        <v>224</v>
      </c>
      <c r="E51" s="14"/>
      <c r="F51" s="146">
        <v>3302016</v>
      </c>
      <c r="G51" s="747" t="s">
        <v>484</v>
      </c>
      <c r="H51" s="112">
        <v>0</v>
      </c>
      <c r="I51" s="112">
        <v>0</v>
      </c>
      <c r="J51" s="112">
        <f ca="1">SUMIF(T$3:$AF26,"ok",T51:AF51)</f>
        <v>0</v>
      </c>
      <c r="K51" s="234" t="str">
        <f t="shared" ca="1" si="9"/>
        <v>0,00%</v>
      </c>
      <c r="L51" s="115">
        <v>0</v>
      </c>
      <c r="M51" s="227">
        <f t="shared" si="8"/>
        <v>0</v>
      </c>
      <c r="N51" s="115">
        <v>0</v>
      </c>
      <c r="O51" s="227">
        <f t="shared" si="10"/>
        <v>0</v>
      </c>
      <c r="P51" s="322">
        <v>0</v>
      </c>
      <c r="Q51" s="322">
        <f ca="1">SUMIF(V$3:$AF18,"SI",V51:AF51)</f>
        <v>0</v>
      </c>
      <c r="R51" s="1246" t="str">
        <f t="shared" ca="1" si="7"/>
        <v>0.00%</v>
      </c>
      <c r="S51" s="1246"/>
      <c r="T51" s="758">
        <v>0</v>
      </c>
      <c r="U51" s="758">
        <v>0</v>
      </c>
      <c r="V51" s="112">
        <v>0</v>
      </c>
      <c r="W51" s="1058">
        <v>0</v>
      </c>
      <c r="X51" s="112">
        <v>0</v>
      </c>
      <c r="Y51" s="112">
        <v>0</v>
      </c>
      <c r="Z51" s="112">
        <v>0</v>
      </c>
      <c r="AA51" s="112"/>
      <c r="AB51" s="112">
        <v>0</v>
      </c>
      <c r="AC51" s="112"/>
      <c r="AD51" s="112"/>
      <c r="AE51" s="112"/>
      <c r="AF51" s="112"/>
      <c r="AG51" s="76"/>
      <c r="AI51"/>
      <c r="AJ51"/>
      <c r="AK51"/>
    </row>
    <row r="52" spans="1:37" ht="15" hidden="1" customHeight="1" x14ac:dyDescent="0.25">
      <c r="B52" s="1241"/>
      <c r="C52" s="13"/>
      <c r="D52" s="113" t="s">
        <v>191</v>
      </c>
      <c r="E52" s="14"/>
      <c r="F52" s="146">
        <v>3302017</v>
      </c>
      <c r="G52" s="747" t="s">
        <v>506</v>
      </c>
      <c r="H52" s="112">
        <v>0</v>
      </c>
      <c r="I52" s="112">
        <v>0</v>
      </c>
      <c r="J52" s="112">
        <f ca="1">SUMIF(T$3:$AF27,"ok",T52:AF52)</f>
        <v>0</v>
      </c>
      <c r="K52" s="234" t="str">
        <f t="shared" ca="1" si="9"/>
        <v>0,00%</v>
      </c>
      <c r="L52" s="115">
        <v>0</v>
      </c>
      <c r="M52" s="227">
        <f t="shared" si="8"/>
        <v>0</v>
      </c>
      <c r="N52" s="115">
        <v>0</v>
      </c>
      <c r="O52" s="227">
        <f t="shared" si="10"/>
        <v>0</v>
      </c>
      <c r="P52" s="322">
        <v>0</v>
      </c>
      <c r="Q52" s="322">
        <f ca="1">SUMIF(V$3:$AF19,"SI",V52:AF52)</f>
        <v>0</v>
      </c>
      <c r="R52" s="1246" t="str">
        <f t="shared" ca="1" si="7"/>
        <v>0.00%</v>
      </c>
      <c r="S52" s="1246"/>
      <c r="T52" s="758">
        <v>0</v>
      </c>
      <c r="U52" s="758">
        <v>0</v>
      </c>
      <c r="V52" s="112">
        <v>0</v>
      </c>
      <c r="W52" s="1058">
        <v>0</v>
      </c>
      <c r="X52" s="112">
        <v>0</v>
      </c>
      <c r="Y52" s="112">
        <v>0</v>
      </c>
      <c r="Z52" s="112">
        <v>0</v>
      </c>
      <c r="AA52" s="112"/>
      <c r="AB52" s="112">
        <v>0</v>
      </c>
      <c r="AC52" s="112"/>
      <c r="AD52" s="112"/>
      <c r="AE52" s="112"/>
      <c r="AF52" s="112"/>
      <c r="AG52" s="76"/>
      <c r="AI52"/>
      <c r="AJ52"/>
      <c r="AK52"/>
    </row>
    <row r="53" spans="1:37" ht="15" hidden="1" customHeight="1" x14ac:dyDescent="0.25">
      <c r="B53" s="1241"/>
      <c r="C53" s="13"/>
      <c r="D53" s="328" t="s">
        <v>194</v>
      </c>
      <c r="E53" s="14"/>
      <c r="F53" s="146" t="s">
        <v>840</v>
      </c>
      <c r="G53" s="747" t="s">
        <v>841</v>
      </c>
      <c r="H53" s="112">
        <v>0</v>
      </c>
      <c r="I53" s="112">
        <v>0</v>
      </c>
      <c r="J53" s="112">
        <f ca="1">SUMIF(T$3:$AF28,"ok",T53:AF53)</f>
        <v>0</v>
      </c>
      <c r="K53" s="234" t="str">
        <f ca="1">IFERROR(J53/I53,"0,00%")</f>
        <v>0,00%</v>
      </c>
      <c r="L53" s="115">
        <v>0</v>
      </c>
      <c r="M53" s="227">
        <f>IFERROR(L53/I53,0)</f>
        <v>0</v>
      </c>
      <c r="N53" s="115">
        <f>+I53-L53</f>
        <v>0</v>
      </c>
      <c r="O53" s="227">
        <f>+IFERROR(N53/I53,0)</f>
        <v>0</v>
      </c>
      <c r="P53" s="441">
        <v>0</v>
      </c>
      <c r="Q53" s="331">
        <f>SUMIF(S$3:$AF3,"SI",S53:AF53)</f>
        <v>0</v>
      </c>
      <c r="R53" s="1246" t="str">
        <f>IFERROR(Q53/P53,"0.00%")</f>
        <v>0.00%</v>
      </c>
      <c r="S53" s="1246"/>
      <c r="T53" s="758">
        <v>0</v>
      </c>
      <c r="U53" s="758">
        <v>0</v>
      </c>
      <c r="V53" s="112">
        <v>0</v>
      </c>
      <c r="W53" s="1058">
        <v>0</v>
      </c>
      <c r="X53" s="112">
        <v>0</v>
      </c>
      <c r="Y53" s="112">
        <v>0</v>
      </c>
      <c r="Z53" s="112">
        <v>0</v>
      </c>
      <c r="AA53" s="112">
        <v>0</v>
      </c>
      <c r="AB53" s="112">
        <v>0</v>
      </c>
      <c r="AC53" s="112">
        <v>0</v>
      </c>
      <c r="AD53" s="112">
        <v>0</v>
      </c>
      <c r="AE53" s="112">
        <v>0</v>
      </c>
      <c r="AF53" s="112">
        <v>0</v>
      </c>
      <c r="AG53" s="76"/>
      <c r="AI53"/>
      <c r="AJ53"/>
      <c r="AK53"/>
    </row>
    <row r="54" spans="1:37" ht="15" hidden="1" x14ac:dyDescent="0.25">
      <c r="B54" s="1241"/>
      <c r="C54" s="13"/>
      <c r="D54" s="113" t="s">
        <v>685</v>
      </c>
      <c r="E54" s="14"/>
      <c r="F54" s="146">
        <v>3302107</v>
      </c>
      <c r="G54" s="747" t="s">
        <v>629</v>
      </c>
      <c r="H54" s="112">
        <v>0</v>
      </c>
      <c r="I54" s="112">
        <v>0</v>
      </c>
      <c r="J54" s="112">
        <f ca="1">SUMIF(T$3:$AF29,"ok",T54:AF54)</f>
        <v>0</v>
      </c>
      <c r="K54" s="234" t="str">
        <f t="shared" ca="1" si="9"/>
        <v>0,00%</v>
      </c>
      <c r="L54" s="115">
        <v>0</v>
      </c>
      <c r="M54" s="227">
        <f t="shared" si="8"/>
        <v>0</v>
      </c>
      <c r="N54" s="115">
        <v>0</v>
      </c>
      <c r="O54" s="227">
        <f t="shared" si="10"/>
        <v>0</v>
      </c>
      <c r="P54" s="322">
        <v>0</v>
      </c>
      <c r="Q54" s="322">
        <f ca="1">SUMIF(V$3:$AF20,"SI",V54:AF54)</f>
        <v>0</v>
      </c>
      <c r="R54" s="1246" t="str">
        <f t="shared" ca="1" si="7"/>
        <v>0.00%</v>
      </c>
      <c r="S54" s="1246"/>
      <c r="T54" s="758">
        <v>0</v>
      </c>
      <c r="U54" s="758">
        <v>0</v>
      </c>
      <c r="V54" s="112">
        <v>0</v>
      </c>
      <c r="W54" s="1058">
        <v>0</v>
      </c>
      <c r="X54" s="112">
        <v>0</v>
      </c>
      <c r="Y54" s="112">
        <v>0</v>
      </c>
      <c r="Z54" s="112">
        <v>0</v>
      </c>
      <c r="AA54" s="112"/>
      <c r="AB54" s="112">
        <v>0</v>
      </c>
      <c r="AC54" s="112"/>
      <c r="AD54" s="112"/>
      <c r="AE54" s="112"/>
      <c r="AF54" s="112"/>
      <c r="AG54" s="76"/>
      <c r="AI54"/>
      <c r="AJ54"/>
      <c r="AK54"/>
    </row>
    <row r="55" spans="1:37" ht="15" hidden="1" x14ac:dyDescent="0.25">
      <c r="B55" s="759"/>
      <c r="C55" s="88"/>
      <c r="D55" s="209" t="s">
        <v>686</v>
      </c>
      <c r="E55" s="94"/>
      <c r="F55" s="62">
        <v>3302914</v>
      </c>
      <c r="G55" s="760" t="s">
        <v>509</v>
      </c>
      <c r="H55" s="115">
        <v>0</v>
      </c>
      <c r="I55" s="115">
        <v>0</v>
      </c>
      <c r="J55" s="112">
        <f ca="1">SUMIF(T$3:$AF30,"ok",T55:AF55)</f>
        <v>0</v>
      </c>
      <c r="K55" s="234" t="str">
        <f t="shared" ca="1" si="9"/>
        <v>0,00%</v>
      </c>
      <c r="L55" s="115">
        <v>0</v>
      </c>
      <c r="M55" s="228">
        <f t="shared" si="8"/>
        <v>0</v>
      </c>
      <c r="N55" s="115">
        <v>0</v>
      </c>
      <c r="O55" s="228">
        <f t="shared" si="10"/>
        <v>0</v>
      </c>
      <c r="P55" s="322">
        <v>0</v>
      </c>
      <c r="Q55" s="322">
        <f ca="1">SUMIF(V$3:$AF21,"SI",V55:AF55)</f>
        <v>0</v>
      </c>
      <c r="R55" s="1247" t="str">
        <f t="shared" ca="1" si="7"/>
        <v>0.00%</v>
      </c>
      <c r="S55" s="1247"/>
      <c r="T55" s="761">
        <v>0</v>
      </c>
      <c r="U55" s="761">
        <v>0</v>
      </c>
      <c r="V55" s="112">
        <v>0</v>
      </c>
      <c r="W55" s="1058">
        <v>0</v>
      </c>
      <c r="X55" s="112">
        <v>0</v>
      </c>
      <c r="Y55" s="112">
        <v>0</v>
      </c>
      <c r="Z55" s="112">
        <v>0</v>
      </c>
      <c r="AA55" s="112"/>
      <c r="AB55" s="112">
        <v>0</v>
      </c>
      <c r="AC55" s="112"/>
      <c r="AD55" s="112"/>
      <c r="AE55" s="112"/>
      <c r="AF55" s="112"/>
      <c r="AG55" s="76"/>
      <c r="AI55"/>
      <c r="AJ55"/>
      <c r="AK55"/>
    </row>
    <row r="56" spans="1:37" ht="15" hidden="1" x14ac:dyDescent="0.25">
      <c r="B56" s="1241"/>
      <c r="C56" s="13"/>
      <c r="D56" s="113" t="s">
        <v>687</v>
      </c>
      <c r="E56" s="14"/>
      <c r="F56" s="146">
        <v>3302916</v>
      </c>
      <c r="G56" s="762" t="s">
        <v>307</v>
      </c>
      <c r="H56" s="112">
        <v>0</v>
      </c>
      <c r="I56" s="112">
        <v>0</v>
      </c>
      <c r="J56" s="112">
        <f ca="1">SUMIF(T$3:$AF31,"ok",T56:AF56)</f>
        <v>0</v>
      </c>
      <c r="K56" s="234" t="str">
        <f t="shared" ca="1" si="9"/>
        <v>0,00%</v>
      </c>
      <c r="L56" s="115">
        <v>0</v>
      </c>
      <c r="M56" s="227">
        <f t="shared" si="8"/>
        <v>0</v>
      </c>
      <c r="N56" s="115">
        <v>0</v>
      </c>
      <c r="O56" s="227">
        <f t="shared" si="10"/>
        <v>0</v>
      </c>
      <c r="P56" s="763">
        <v>0</v>
      </c>
      <c r="Q56" s="322">
        <f ca="1">SUMIF(V$3:$AF22,"SI",V56:AF56)</f>
        <v>0</v>
      </c>
      <c r="R56" s="1246" t="str">
        <f t="shared" ca="1" si="7"/>
        <v>0.00%</v>
      </c>
      <c r="S56" s="1246"/>
      <c r="T56" s="758">
        <v>0</v>
      </c>
      <c r="U56" s="758">
        <v>0</v>
      </c>
      <c r="V56" s="112">
        <v>0</v>
      </c>
      <c r="W56" s="1058">
        <v>0</v>
      </c>
      <c r="X56" s="112">
        <v>0</v>
      </c>
      <c r="Y56" s="112">
        <v>0</v>
      </c>
      <c r="Z56" s="112">
        <v>0</v>
      </c>
      <c r="AA56" s="112"/>
      <c r="AB56" s="112">
        <v>0</v>
      </c>
      <c r="AC56" s="112"/>
      <c r="AD56" s="112"/>
      <c r="AE56" s="112"/>
      <c r="AF56" s="112"/>
      <c r="AI56"/>
      <c r="AJ56"/>
      <c r="AK56"/>
    </row>
    <row r="57" spans="1:37" ht="25.5" hidden="1" x14ac:dyDescent="0.25">
      <c r="B57" s="1241"/>
      <c r="C57" s="13"/>
      <c r="D57" s="113" t="s">
        <v>630</v>
      </c>
      <c r="E57" s="14"/>
      <c r="F57" s="146">
        <v>3302020</v>
      </c>
      <c r="G57" s="747" t="s">
        <v>698</v>
      </c>
      <c r="H57" s="112">
        <v>0</v>
      </c>
      <c r="I57" s="112">
        <v>0</v>
      </c>
      <c r="J57" s="112">
        <f ca="1">SUMIF(T$3:$AF32,"ok",T57:AF57)</f>
        <v>0</v>
      </c>
      <c r="K57" s="234" t="str">
        <f ca="1">IFERROR(J57/#REF!,"0,00%")</f>
        <v>0,00%</v>
      </c>
      <c r="L57" s="115">
        <v>0</v>
      </c>
      <c r="M57" s="227">
        <f>IFERROR(#REF!/#REF!,0)</f>
        <v>0</v>
      </c>
      <c r="N57" s="115">
        <f>+I57-L57</f>
        <v>0</v>
      </c>
      <c r="O57" s="227">
        <f>+IFERROR(N57/#REF!,0)</f>
        <v>0</v>
      </c>
      <c r="P57" s="763">
        <v>0</v>
      </c>
      <c r="Q57" s="322">
        <f ca="1">SUMIF(V$3:$AF23,"SI",V57:AF57)</f>
        <v>0</v>
      </c>
      <c r="R57" s="1246" t="str">
        <f ca="1">IFERROR(Q57/P57,"0,0%")</f>
        <v>0,0%</v>
      </c>
      <c r="S57" s="1246"/>
      <c r="T57" s="758">
        <v>0</v>
      </c>
      <c r="U57" s="758">
        <v>0</v>
      </c>
      <c r="V57" s="112">
        <v>0</v>
      </c>
      <c r="W57" s="1058">
        <v>0</v>
      </c>
      <c r="X57" s="112">
        <v>0</v>
      </c>
      <c r="Y57" s="112">
        <v>0</v>
      </c>
      <c r="Z57" s="112">
        <v>0</v>
      </c>
      <c r="AA57" s="112"/>
      <c r="AB57" s="112">
        <v>0</v>
      </c>
      <c r="AC57" s="112"/>
      <c r="AD57" s="112"/>
      <c r="AE57" s="112"/>
      <c r="AF57" s="112"/>
      <c r="AI57"/>
      <c r="AJ57"/>
      <c r="AK57"/>
    </row>
    <row r="58" spans="1:37" ht="15" customHeight="1" x14ac:dyDescent="0.25">
      <c r="B58" s="1239"/>
      <c r="C58" s="12" t="s">
        <v>165</v>
      </c>
      <c r="D58" s="327"/>
      <c r="E58" s="10"/>
      <c r="F58" s="63"/>
      <c r="G58" s="742" t="s">
        <v>209</v>
      </c>
      <c r="H58" s="208">
        <f>SUM(H59:H69)</f>
        <v>102489437</v>
      </c>
      <c r="I58" s="208">
        <f>SUM(I59:I69)</f>
        <v>50733173</v>
      </c>
      <c r="J58" s="208">
        <f ca="1">SUMIF(T$3:$AF42,"ok",T58:AF58)</f>
        <v>0</v>
      </c>
      <c r="K58" s="753">
        <f ca="1">IFERROR(J58/I58,"0,0%")</f>
        <v>0</v>
      </c>
      <c r="L58" s="229">
        <v>0</v>
      </c>
      <c r="M58" s="226">
        <f t="shared" si="8"/>
        <v>0</v>
      </c>
      <c r="N58" s="2">
        <f>+I58-L58</f>
        <v>50733173</v>
      </c>
      <c r="O58" s="753">
        <f>+IFERROR(N58/I58,0)</f>
        <v>1</v>
      </c>
      <c r="P58" s="442">
        <f>SUM(P59:P69)</f>
        <v>82012635.648000002</v>
      </c>
      <c r="Q58" s="208">
        <f ca="1">SUM(Q59:Q69)</f>
        <v>0</v>
      </c>
      <c r="R58" s="575">
        <f ca="1">IFERROR(Q58/P58,"0.00%")</f>
        <v>0</v>
      </c>
      <c r="S58" s="575"/>
      <c r="T58" s="757">
        <v>0</v>
      </c>
      <c r="U58" s="757">
        <v>0</v>
      </c>
      <c r="V58" s="225">
        <v>0</v>
      </c>
      <c r="W58" s="1057">
        <v>0</v>
      </c>
      <c r="X58" s="208">
        <v>0</v>
      </c>
      <c r="Y58" s="208">
        <v>0</v>
      </c>
      <c r="Z58" s="208">
        <v>0</v>
      </c>
      <c r="AA58" s="208">
        <v>0</v>
      </c>
      <c r="AB58" s="225">
        <v>0</v>
      </c>
      <c r="AC58" s="225">
        <v>0</v>
      </c>
      <c r="AD58" s="208">
        <v>0</v>
      </c>
      <c r="AE58" s="208">
        <v>0</v>
      </c>
      <c r="AF58" s="208">
        <v>0</v>
      </c>
      <c r="AI58"/>
      <c r="AJ58"/>
      <c r="AK58"/>
    </row>
    <row r="59" spans="1:37" ht="15" customHeight="1" x14ac:dyDescent="0.25">
      <c r="B59" s="1241"/>
      <c r="C59" s="45"/>
      <c r="D59" s="113" t="s">
        <v>167</v>
      </c>
      <c r="E59" s="11"/>
      <c r="F59" s="146">
        <v>3303001</v>
      </c>
      <c r="G59" s="747" t="s">
        <v>243</v>
      </c>
      <c r="H59" s="112">
        <f>+'P05 2025'!F3</f>
        <v>82544640</v>
      </c>
      <c r="I59" s="115">
        <f>+'P05 2025'!T3</f>
        <v>41272320</v>
      </c>
      <c r="J59" s="112">
        <f ca="1">SUMIF(T$3:$AF43,"ok",T59:AF59)</f>
        <v>0</v>
      </c>
      <c r="K59" s="234">
        <f ca="1">IFERROR(J59/I59,"0,00%")</f>
        <v>0</v>
      </c>
      <c r="L59" s="115">
        <v>0</v>
      </c>
      <c r="M59" s="227">
        <f t="shared" ref="M59:M72" si="11">IFERROR(L59/I59,0)</f>
        <v>0</v>
      </c>
      <c r="N59" s="115">
        <f>+I59-L59</f>
        <v>41272320</v>
      </c>
      <c r="O59" s="227">
        <f>+IFERROR(N59/I59,0)</f>
        <v>1</v>
      </c>
      <c r="P59" s="763">
        <f>+'P05 2024'!U5</f>
        <v>42123040.686000004</v>
      </c>
      <c r="Q59" s="112">
        <f>SUMIF(S$3:$AF3,"SI",S59:AF59)</f>
        <v>0</v>
      </c>
      <c r="R59" s="1246">
        <f>IFERROR(Q59/P59,"0,0%")</f>
        <v>0</v>
      </c>
      <c r="S59" s="1246"/>
      <c r="T59" s="758">
        <v>0</v>
      </c>
      <c r="U59" s="758">
        <v>0</v>
      </c>
      <c r="V59" s="112">
        <v>0</v>
      </c>
      <c r="W59" s="944">
        <v>0</v>
      </c>
      <c r="X59" s="112">
        <v>0</v>
      </c>
      <c r="Y59" s="112">
        <v>0</v>
      </c>
      <c r="Z59" s="112">
        <v>0</v>
      </c>
      <c r="AA59" s="112">
        <v>0</v>
      </c>
      <c r="AB59" s="112">
        <v>0</v>
      </c>
      <c r="AC59" s="112">
        <v>0</v>
      </c>
      <c r="AD59" s="112">
        <v>0</v>
      </c>
      <c r="AE59" s="112">
        <v>0</v>
      </c>
      <c r="AF59" s="112">
        <v>0</v>
      </c>
      <c r="AI59"/>
      <c r="AJ59"/>
      <c r="AK59"/>
    </row>
    <row r="60" spans="1:37" ht="15" customHeight="1" x14ac:dyDescent="0.25">
      <c r="B60" s="1241"/>
      <c r="C60" s="45"/>
      <c r="D60" s="113" t="s">
        <v>638</v>
      </c>
      <c r="E60" s="11"/>
      <c r="F60" s="146">
        <v>3303432</v>
      </c>
      <c r="G60" s="747" t="s">
        <v>637</v>
      </c>
      <c r="H60" s="112">
        <f>+'P05 2025'!F4+5124472</f>
        <v>19944797</v>
      </c>
      <c r="I60" s="115">
        <f>+'P05 2025'!T4-235000-5124472</f>
        <v>9460853</v>
      </c>
      <c r="J60" s="112">
        <f ca="1">SUMIF(T$3:$AF44,"ok",T60:AF60)</f>
        <v>0</v>
      </c>
      <c r="K60" s="234">
        <f t="shared" ref="K60:K71" ca="1" si="12">IFERROR(J60/I60,"0,00%")</f>
        <v>0</v>
      </c>
      <c r="L60" s="115">
        <v>0</v>
      </c>
      <c r="M60" s="227">
        <f t="shared" si="11"/>
        <v>0</v>
      </c>
      <c r="N60" s="115">
        <f>+I60-L60</f>
        <v>9460853</v>
      </c>
      <c r="O60" s="227">
        <f>+IFERROR(N60/I60,0)</f>
        <v>1</v>
      </c>
      <c r="P60" s="763">
        <f>+'P05 2024'!U6</f>
        <v>39889594.962000005</v>
      </c>
      <c r="Q60" s="112">
        <f ca="1">SUMIF(S$3:$AF4,"SI",S60:AF60)</f>
        <v>0</v>
      </c>
      <c r="R60" s="1246">
        <f ca="1">IFERROR(Q60/P60,"0,0%")</f>
        <v>0</v>
      </c>
      <c r="S60" s="1246"/>
      <c r="T60" s="758">
        <v>0</v>
      </c>
      <c r="U60" s="758">
        <v>0</v>
      </c>
      <c r="V60" s="7">
        <v>0</v>
      </c>
      <c r="W60" s="944">
        <v>0</v>
      </c>
      <c r="X60" s="112">
        <v>0</v>
      </c>
      <c r="Y60" s="112">
        <v>0</v>
      </c>
      <c r="Z60" s="112">
        <v>0</v>
      </c>
      <c r="AA60" s="112">
        <v>0</v>
      </c>
      <c r="AB60" s="112">
        <v>0</v>
      </c>
      <c r="AC60" s="112">
        <v>0</v>
      </c>
      <c r="AD60" s="112">
        <v>0</v>
      </c>
      <c r="AE60" s="112">
        <v>0</v>
      </c>
      <c r="AF60" s="112">
        <v>0</v>
      </c>
      <c r="AI60"/>
      <c r="AJ60"/>
      <c r="AK60"/>
    </row>
    <row r="61" spans="1:37" s="44" customFormat="1" ht="15" hidden="1" customHeight="1" x14ac:dyDescent="0.25">
      <c r="A61" s="86"/>
      <c r="B61" s="1248"/>
      <c r="C61" s="96"/>
      <c r="D61" s="209" t="s">
        <v>191</v>
      </c>
      <c r="E61" s="11"/>
      <c r="F61" s="62">
        <v>3303017</v>
      </c>
      <c r="G61" s="747" t="s">
        <v>244</v>
      </c>
      <c r="H61" s="29">
        <v>0</v>
      </c>
      <c r="I61" s="29">
        <v>0</v>
      </c>
      <c r="J61" s="112">
        <f ca="1">SUMIF(T$3:$AF45,"ok",T61:AF61)</f>
        <v>0</v>
      </c>
      <c r="K61" s="234" t="str">
        <f t="shared" ca="1" si="12"/>
        <v>0,00%</v>
      </c>
      <c r="L61" s="29">
        <v>0</v>
      </c>
      <c r="M61" s="227">
        <f t="shared" si="11"/>
        <v>0</v>
      </c>
      <c r="N61" s="29">
        <v>0</v>
      </c>
      <c r="O61" s="227">
        <f t="shared" ref="O61:O72" si="13">+IFERROR(N61/I61,0)</f>
        <v>0</v>
      </c>
      <c r="P61" s="763">
        <v>0</v>
      </c>
      <c r="Q61" s="112">
        <f ca="1">SUMIF(V$3:$AF5,"SI",V61:AF61)</f>
        <v>0</v>
      </c>
      <c r="R61" s="1244" t="str">
        <f t="shared" ref="R61:R71" ca="1" si="14">IFERROR(Q61/P61,"0,0%")</f>
        <v>0,0%</v>
      </c>
      <c r="S61" s="1244"/>
      <c r="T61" s="764">
        <v>0</v>
      </c>
      <c r="U61" s="764">
        <v>0</v>
      </c>
      <c r="V61" s="7">
        <v>0</v>
      </c>
      <c r="W61" s="1059">
        <v>0</v>
      </c>
      <c r="X61" s="7">
        <v>0</v>
      </c>
      <c r="Y61" s="7">
        <v>0</v>
      </c>
      <c r="Z61" s="7">
        <v>0</v>
      </c>
      <c r="AA61" s="7"/>
      <c r="AB61" s="7">
        <v>0</v>
      </c>
      <c r="AC61" s="7"/>
      <c r="AD61" s="7"/>
      <c r="AE61" s="7"/>
      <c r="AF61" s="7"/>
      <c r="AH61" s="309"/>
      <c r="AI61"/>
      <c r="AJ61"/>
      <c r="AK61"/>
    </row>
    <row r="62" spans="1:37" s="44" customFormat="1" ht="15" hidden="1" customHeight="1" x14ac:dyDescent="0.25">
      <c r="A62" s="86"/>
      <c r="B62" s="1248"/>
      <c r="C62" s="96"/>
      <c r="D62" s="209" t="s">
        <v>192</v>
      </c>
      <c r="E62" s="11"/>
      <c r="F62" s="62">
        <v>3303021</v>
      </c>
      <c r="G62" s="747" t="s">
        <v>245</v>
      </c>
      <c r="H62" s="29">
        <v>0</v>
      </c>
      <c r="I62" s="29">
        <v>0</v>
      </c>
      <c r="J62" s="112">
        <f ca="1">SUMIF(T$3:$AF46,"ok",T62:AF62)</f>
        <v>0</v>
      </c>
      <c r="K62" s="234" t="str">
        <f t="shared" ca="1" si="12"/>
        <v>0,00%</v>
      </c>
      <c r="L62" s="29">
        <v>0</v>
      </c>
      <c r="M62" s="227">
        <f t="shared" si="11"/>
        <v>0</v>
      </c>
      <c r="N62" s="29">
        <v>0</v>
      </c>
      <c r="O62" s="227">
        <f t="shared" si="13"/>
        <v>0</v>
      </c>
      <c r="P62" s="763">
        <v>0</v>
      </c>
      <c r="Q62" s="112">
        <f ca="1">SUMIF(V$3:$AF6,"SI",V62:AF62)</f>
        <v>0</v>
      </c>
      <c r="R62" s="1244" t="str">
        <f t="shared" ca="1" si="14"/>
        <v>0,0%</v>
      </c>
      <c r="S62" s="1244"/>
      <c r="T62" s="764">
        <v>0</v>
      </c>
      <c r="U62" s="764">
        <v>0</v>
      </c>
      <c r="V62" s="7">
        <v>0</v>
      </c>
      <c r="W62" s="1060">
        <v>0</v>
      </c>
      <c r="X62" s="7">
        <v>0</v>
      </c>
      <c r="Y62" s="7">
        <v>0</v>
      </c>
      <c r="Z62" s="7">
        <v>0</v>
      </c>
      <c r="AA62" s="7"/>
      <c r="AB62" s="7">
        <v>0</v>
      </c>
      <c r="AC62" s="7"/>
      <c r="AD62" s="7"/>
      <c r="AE62" s="7"/>
      <c r="AF62" s="7"/>
      <c r="AG62" s="76"/>
      <c r="AH62" s="313"/>
      <c r="AI62"/>
      <c r="AJ62"/>
      <c r="AK62"/>
    </row>
    <row r="63" spans="1:37" s="44" customFormat="1" ht="15" hidden="1" customHeight="1" x14ac:dyDescent="0.25">
      <c r="A63" s="86"/>
      <c r="B63" s="1248"/>
      <c r="C63" s="96"/>
      <c r="D63" s="209" t="s">
        <v>194</v>
      </c>
      <c r="E63" s="11"/>
      <c r="F63" s="62">
        <v>3303025</v>
      </c>
      <c r="G63" s="747" t="s">
        <v>246</v>
      </c>
      <c r="H63" s="29">
        <v>0</v>
      </c>
      <c r="I63" s="29">
        <v>0</v>
      </c>
      <c r="J63" s="112">
        <f ca="1">SUMIF(T$3:$AF47,"ok",T63:AF63)</f>
        <v>0</v>
      </c>
      <c r="K63" s="234" t="str">
        <f t="shared" ca="1" si="12"/>
        <v>0,00%</v>
      </c>
      <c r="L63" s="29">
        <v>0</v>
      </c>
      <c r="M63" s="227">
        <f t="shared" si="11"/>
        <v>0</v>
      </c>
      <c r="N63" s="29">
        <v>0</v>
      </c>
      <c r="O63" s="227">
        <f t="shared" si="13"/>
        <v>0</v>
      </c>
      <c r="P63" s="763">
        <v>0</v>
      </c>
      <c r="Q63" s="112">
        <f ca="1">SUMIF(V$3:$AF7,"SI",V63:AF63)</f>
        <v>0</v>
      </c>
      <c r="R63" s="1244" t="str">
        <f t="shared" ca="1" si="14"/>
        <v>0,0%</v>
      </c>
      <c r="S63" s="1244"/>
      <c r="T63" s="764">
        <v>0</v>
      </c>
      <c r="U63" s="764">
        <v>0</v>
      </c>
      <c r="V63" s="7">
        <v>0</v>
      </c>
      <c r="W63" s="1060">
        <v>0</v>
      </c>
      <c r="X63" s="7">
        <v>0</v>
      </c>
      <c r="Y63" s="7">
        <v>0</v>
      </c>
      <c r="Z63" s="7">
        <v>0</v>
      </c>
      <c r="AA63" s="7"/>
      <c r="AB63" s="7">
        <v>0</v>
      </c>
      <c r="AC63" s="7"/>
      <c r="AD63" s="7"/>
      <c r="AE63" s="7"/>
      <c r="AF63" s="7"/>
      <c r="AG63" s="76"/>
      <c r="AH63" s="313"/>
      <c r="AI63"/>
      <c r="AJ63"/>
      <c r="AK63"/>
    </row>
    <row r="64" spans="1:37" s="44" customFormat="1" ht="15" hidden="1" customHeight="1" x14ac:dyDescent="0.25">
      <c r="A64" s="86"/>
      <c r="B64" s="1248"/>
      <c r="C64" s="96"/>
      <c r="D64" s="209" t="s">
        <v>195</v>
      </c>
      <c r="E64" s="11"/>
      <c r="F64" s="62">
        <v>3303130</v>
      </c>
      <c r="G64" s="747" t="s">
        <v>247</v>
      </c>
      <c r="H64" s="29">
        <v>0</v>
      </c>
      <c r="I64" s="29">
        <v>0</v>
      </c>
      <c r="J64" s="112">
        <f ca="1">SUMIF(T$3:$AF48,"ok",T64:AF64)</f>
        <v>0</v>
      </c>
      <c r="K64" s="234" t="str">
        <f t="shared" ca="1" si="12"/>
        <v>0,00%</v>
      </c>
      <c r="L64" s="29">
        <v>0</v>
      </c>
      <c r="M64" s="227">
        <f t="shared" si="11"/>
        <v>0</v>
      </c>
      <c r="N64" s="29">
        <v>0</v>
      </c>
      <c r="O64" s="227">
        <f t="shared" si="13"/>
        <v>0</v>
      </c>
      <c r="P64" s="763">
        <v>0</v>
      </c>
      <c r="Q64" s="112">
        <f ca="1">SUMIF(V$3:$AF8,"SI",V64:AF64)</f>
        <v>0</v>
      </c>
      <c r="R64" s="1244" t="str">
        <f t="shared" ca="1" si="14"/>
        <v>0,0%</v>
      </c>
      <c r="S64" s="1244"/>
      <c r="T64" s="764">
        <v>0</v>
      </c>
      <c r="U64" s="764">
        <v>0</v>
      </c>
      <c r="V64" s="7">
        <v>0</v>
      </c>
      <c r="W64" s="1059">
        <v>0</v>
      </c>
      <c r="X64" s="7">
        <v>0</v>
      </c>
      <c r="Y64" s="7">
        <v>0</v>
      </c>
      <c r="Z64" s="7">
        <v>0</v>
      </c>
      <c r="AA64" s="7"/>
      <c r="AB64" s="7">
        <v>0</v>
      </c>
      <c r="AC64" s="7"/>
      <c r="AD64" s="7"/>
      <c r="AE64" s="7"/>
      <c r="AF64" s="7"/>
      <c r="AH64" s="313"/>
      <c r="AI64"/>
      <c r="AJ64"/>
      <c r="AK64"/>
    </row>
    <row r="65" spans="1:39" s="44" customFormat="1" ht="15" hidden="1" customHeight="1" x14ac:dyDescent="0.25">
      <c r="A65" s="86"/>
      <c r="B65" s="1248"/>
      <c r="C65" s="96"/>
      <c r="D65" s="209" t="s">
        <v>196</v>
      </c>
      <c r="E65" s="11"/>
      <c r="F65" s="62">
        <v>3303190</v>
      </c>
      <c r="G65" s="747" t="s">
        <v>248</v>
      </c>
      <c r="H65" s="29">
        <v>0</v>
      </c>
      <c r="I65" s="29">
        <v>0</v>
      </c>
      <c r="J65" s="112">
        <f ca="1">SUMIF(T$3:$AF49,"ok",T65:AF65)</f>
        <v>0</v>
      </c>
      <c r="K65" s="234" t="str">
        <f t="shared" ca="1" si="12"/>
        <v>0,00%</v>
      </c>
      <c r="L65" s="29">
        <v>0</v>
      </c>
      <c r="M65" s="227">
        <f t="shared" si="11"/>
        <v>0</v>
      </c>
      <c r="N65" s="29">
        <v>0</v>
      </c>
      <c r="O65" s="227">
        <f t="shared" si="13"/>
        <v>0</v>
      </c>
      <c r="P65" s="763">
        <v>0</v>
      </c>
      <c r="Q65" s="112">
        <f ca="1">SUMIF(V$3:$AF9,"SI",V65:AF65)</f>
        <v>0</v>
      </c>
      <c r="R65" s="1244" t="str">
        <f t="shared" ca="1" si="14"/>
        <v>0,0%</v>
      </c>
      <c r="S65" s="1244"/>
      <c r="T65" s="764">
        <v>0</v>
      </c>
      <c r="U65" s="764">
        <v>0</v>
      </c>
      <c r="V65" s="7">
        <v>0</v>
      </c>
      <c r="W65" s="1060">
        <v>0</v>
      </c>
      <c r="X65" s="7">
        <v>0</v>
      </c>
      <c r="Y65" s="7">
        <v>0</v>
      </c>
      <c r="Z65" s="7">
        <v>0</v>
      </c>
      <c r="AA65" s="7"/>
      <c r="AB65" s="7">
        <v>0</v>
      </c>
      <c r="AC65" s="7"/>
      <c r="AD65" s="7"/>
      <c r="AE65" s="7"/>
      <c r="AF65" s="7"/>
      <c r="AH65" s="313"/>
      <c r="AI65"/>
      <c r="AJ65"/>
      <c r="AK65"/>
    </row>
    <row r="66" spans="1:39" s="44" customFormat="1" ht="15" hidden="1" customHeight="1" x14ac:dyDescent="0.25">
      <c r="A66" s="86"/>
      <c r="B66" s="1248"/>
      <c r="C66" s="96"/>
      <c r="D66" s="209" t="s">
        <v>197</v>
      </c>
      <c r="E66" s="11"/>
      <c r="F66" s="62">
        <v>3303418</v>
      </c>
      <c r="G66" s="747" t="s">
        <v>606</v>
      </c>
      <c r="H66" s="29">
        <v>0</v>
      </c>
      <c r="I66" s="29">
        <v>0</v>
      </c>
      <c r="J66" s="112">
        <f ca="1">SUMIF(T$3:$AF50,"ok",T66:AF66)</f>
        <v>0</v>
      </c>
      <c r="K66" s="234" t="str">
        <f t="shared" ca="1" si="12"/>
        <v>0,00%</v>
      </c>
      <c r="L66" s="29">
        <v>0</v>
      </c>
      <c r="M66" s="227">
        <f t="shared" si="11"/>
        <v>0</v>
      </c>
      <c r="N66" s="29">
        <v>0</v>
      </c>
      <c r="O66" s="227">
        <f t="shared" si="13"/>
        <v>0</v>
      </c>
      <c r="P66" s="763">
        <v>0</v>
      </c>
      <c r="Q66" s="112">
        <f ca="1">SUMIF(V$3:$AF10,"SI",V66:AF66)</f>
        <v>0</v>
      </c>
      <c r="R66" s="1244" t="str">
        <f t="shared" ca="1" si="14"/>
        <v>0,0%</v>
      </c>
      <c r="S66" s="1244"/>
      <c r="T66" s="764">
        <v>0</v>
      </c>
      <c r="U66" s="764">
        <v>0</v>
      </c>
      <c r="V66" s="7">
        <v>0</v>
      </c>
      <c r="W66" s="1060">
        <v>0</v>
      </c>
      <c r="X66" s="7">
        <v>0</v>
      </c>
      <c r="Y66" s="7">
        <v>0</v>
      </c>
      <c r="Z66" s="7">
        <v>0</v>
      </c>
      <c r="AA66" s="7"/>
      <c r="AB66" s="7">
        <v>0</v>
      </c>
      <c r="AC66" s="7"/>
      <c r="AD66" s="7"/>
      <c r="AE66" s="7"/>
      <c r="AF66" s="7"/>
      <c r="AG66" s="76"/>
      <c r="AH66" s="313"/>
      <c r="AI66"/>
      <c r="AJ66"/>
      <c r="AK66"/>
    </row>
    <row r="67" spans="1:39" s="44" customFormat="1" ht="15" hidden="1" customHeight="1" x14ac:dyDescent="0.25">
      <c r="A67" s="86"/>
      <c r="B67" s="1248"/>
      <c r="C67" s="96"/>
      <c r="D67" s="209" t="s">
        <v>198</v>
      </c>
      <c r="E67" s="11"/>
      <c r="F67" s="62">
        <v>3303421</v>
      </c>
      <c r="G67" s="747" t="s">
        <v>121</v>
      </c>
      <c r="H67" s="29">
        <v>0</v>
      </c>
      <c r="I67" s="29">
        <v>0</v>
      </c>
      <c r="J67" s="112">
        <f ca="1">SUMIF(T$3:$AF51,"ok",T67:AF67)</f>
        <v>0</v>
      </c>
      <c r="K67" s="234" t="str">
        <f t="shared" ca="1" si="12"/>
        <v>0,00%</v>
      </c>
      <c r="L67" s="29">
        <v>0</v>
      </c>
      <c r="M67" s="227">
        <f t="shared" si="11"/>
        <v>0</v>
      </c>
      <c r="N67" s="29">
        <v>0</v>
      </c>
      <c r="O67" s="227">
        <f t="shared" si="13"/>
        <v>0</v>
      </c>
      <c r="P67" s="763">
        <v>0</v>
      </c>
      <c r="Q67" s="112">
        <f ca="1">SUMIF(V$3:$AF11,"SI",V67:AF67)</f>
        <v>0</v>
      </c>
      <c r="R67" s="1244" t="str">
        <f t="shared" ca="1" si="14"/>
        <v>0,0%</v>
      </c>
      <c r="S67" s="1244"/>
      <c r="T67" s="764">
        <v>0</v>
      </c>
      <c r="U67" s="764">
        <v>0</v>
      </c>
      <c r="V67" s="7">
        <v>0</v>
      </c>
      <c r="W67" s="1059">
        <v>0</v>
      </c>
      <c r="X67" s="7">
        <v>0</v>
      </c>
      <c r="Y67" s="7">
        <v>0</v>
      </c>
      <c r="Z67" s="7">
        <v>0</v>
      </c>
      <c r="AA67" s="7"/>
      <c r="AB67" s="7">
        <v>0</v>
      </c>
      <c r="AC67" s="7"/>
      <c r="AD67" s="7"/>
      <c r="AE67" s="7"/>
      <c r="AF67" s="7"/>
      <c r="AG67" s="76"/>
      <c r="AH67" s="313"/>
      <c r="AI67"/>
      <c r="AJ67"/>
      <c r="AK67"/>
    </row>
    <row r="68" spans="1:39" s="44" customFormat="1" ht="15" hidden="1" customHeight="1" x14ac:dyDescent="0.25">
      <c r="A68" s="86"/>
      <c r="B68" s="1248"/>
      <c r="C68" s="96"/>
      <c r="D68" s="209" t="s">
        <v>199</v>
      </c>
      <c r="E68" s="11"/>
      <c r="F68" s="62">
        <v>3303426</v>
      </c>
      <c r="G68" s="747" t="s">
        <v>122</v>
      </c>
      <c r="H68" s="29">
        <v>0</v>
      </c>
      <c r="I68" s="29">
        <v>0</v>
      </c>
      <c r="J68" s="112">
        <f ca="1">SUMIF(T$3:$AF52,"ok",T68:AF68)</f>
        <v>0</v>
      </c>
      <c r="K68" s="234" t="str">
        <f t="shared" ca="1" si="12"/>
        <v>0,00%</v>
      </c>
      <c r="L68" s="29">
        <v>0</v>
      </c>
      <c r="M68" s="227">
        <f t="shared" si="11"/>
        <v>0</v>
      </c>
      <c r="N68" s="29">
        <v>0</v>
      </c>
      <c r="O68" s="227">
        <f t="shared" si="13"/>
        <v>0</v>
      </c>
      <c r="P68" s="763">
        <v>0</v>
      </c>
      <c r="Q68" s="112">
        <f ca="1">SUMIF(V$3:$AF12,"SI",V68:AF68)</f>
        <v>0</v>
      </c>
      <c r="R68" s="1244" t="str">
        <f t="shared" ca="1" si="14"/>
        <v>0,0%</v>
      </c>
      <c r="S68" s="1244"/>
      <c r="T68" s="764">
        <v>0</v>
      </c>
      <c r="U68" s="764">
        <v>0</v>
      </c>
      <c r="V68" s="7">
        <v>0</v>
      </c>
      <c r="W68" s="1060">
        <v>0</v>
      </c>
      <c r="X68" s="7">
        <v>0</v>
      </c>
      <c r="Y68" s="7">
        <v>0</v>
      </c>
      <c r="Z68" s="7">
        <v>0</v>
      </c>
      <c r="AA68" s="7"/>
      <c r="AB68" s="7">
        <v>0</v>
      </c>
      <c r="AC68" s="7"/>
      <c r="AD68" s="7"/>
      <c r="AE68" s="7"/>
      <c r="AF68" s="7"/>
      <c r="AH68" s="309"/>
      <c r="AI68"/>
      <c r="AJ68"/>
      <c r="AK68"/>
    </row>
    <row r="69" spans="1:39" s="44" customFormat="1" ht="15" hidden="1" customHeight="1" x14ac:dyDescent="0.25">
      <c r="A69" s="86"/>
      <c r="B69" s="1248"/>
      <c r="C69" s="96"/>
      <c r="D69" s="209" t="s">
        <v>587</v>
      </c>
      <c r="E69" s="11"/>
      <c r="F69" s="62">
        <v>3303431</v>
      </c>
      <c r="G69" s="747" t="s">
        <v>607</v>
      </c>
      <c r="H69" s="29">
        <v>0</v>
      </c>
      <c r="I69" s="29">
        <v>0</v>
      </c>
      <c r="J69" s="112">
        <f ca="1">SUMIF(T$3:$AF53,"ok",T69:AF69)</f>
        <v>0</v>
      </c>
      <c r="K69" s="234" t="str">
        <f t="shared" ca="1" si="12"/>
        <v>0,00%</v>
      </c>
      <c r="L69" s="29">
        <v>0</v>
      </c>
      <c r="M69" s="227">
        <f t="shared" si="11"/>
        <v>0</v>
      </c>
      <c r="N69" s="29">
        <v>0</v>
      </c>
      <c r="O69" s="227">
        <f t="shared" si="13"/>
        <v>0</v>
      </c>
      <c r="P69" s="763">
        <v>0</v>
      </c>
      <c r="Q69" s="112">
        <f ca="1">SUMIF(V$3:$AF13,"SI",V69:AF69)</f>
        <v>0</v>
      </c>
      <c r="R69" s="1244" t="str">
        <f t="shared" ca="1" si="14"/>
        <v>0,0%</v>
      </c>
      <c r="S69" s="1244"/>
      <c r="T69" s="764">
        <v>0</v>
      </c>
      <c r="U69" s="764">
        <v>0</v>
      </c>
      <c r="V69" s="7">
        <v>0</v>
      </c>
      <c r="W69" s="1060">
        <v>0</v>
      </c>
      <c r="X69" s="7">
        <v>0</v>
      </c>
      <c r="Y69" s="7">
        <v>0</v>
      </c>
      <c r="Z69" s="7">
        <v>0</v>
      </c>
      <c r="AA69" s="7"/>
      <c r="AB69" s="7">
        <v>0</v>
      </c>
      <c r="AC69" s="7"/>
      <c r="AD69" s="7"/>
      <c r="AE69" s="7"/>
      <c r="AF69" s="7"/>
      <c r="AG69" s="76"/>
      <c r="AH69" s="309"/>
      <c r="AI69"/>
      <c r="AJ69"/>
      <c r="AK69"/>
    </row>
    <row r="70" spans="1:39" s="44" customFormat="1" ht="15" customHeight="1" x14ac:dyDescent="0.25">
      <c r="A70" s="86"/>
      <c r="B70" s="1249">
        <v>34</v>
      </c>
      <c r="C70" s="49"/>
      <c r="D70" s="47"/>
      <c r="E70" s="48"/>
      <c r="F70" s="187"/>
      <c r="G70" s="765" t="s">
        <v>83</v>
      </c>
      <c r="H70" s="46">
        <f>+'P05 2025'!C7</f>
        <v>0</v>
      </c>
      <c r="I70" s="46">
        <f>+I71</f>
        <v>0</v>
      </c>
      <c r="J70" s="208">
        <f ca="1">SUMIF(T$3:$AF54,"ok",T70:AF70)</f>
        <v>0</v>
      </c>
      <c r="K70" s="410" t="str">
        <f ca="1">IFERROR(J70/I70,"0,00%")</f>
        <v>0,00%</v>
      </c>
      <c r="L70" s="46">
        <f>+L71</f>
        <v>0</v>
      </c>
      <c r="M70" s="411">
        <f t="shared" si="11"/>
        <v>0</v>
      </c>
      <c r="N70" s="46">
        <f>+I70-L70</f>
        <v>0</v>
      </c>
      <c r="O70" s="691">
        <f>+IFERROR(N70/I70,0)</f>
        <v>0</v>
      </c>
      <c r="P70" s="766">
        <v>0</v>
      </c>
      <c r="Q70" s="208">
        <f ca="1">SUMIF(S$3:$AF14,"SI",S70:AF70)</f>
        <v>8187173.2240000004</v>
      </c>
      <c r="R70" s="1250" t="str">
        <f t="shared" ca="1" si="14"/>
        <v>0,0%</v>
      </c>
      <c r="S70" s="1250"/>
      <c r="T70" s="767">
        <f>+'P05 2024'!H8</f>
        <v>8187173.2240000004</v>
      </c>
      <c r="U70" s="1051">
        <v>0</v>
      </c>
      <c r="V70" s="46">
        <v>0</v>
      </c>
      <c r="W70" s="1061">
        <v>0</v>
      </c>
      <c r="X70" s="46">
        <v>0</v>
      </c>
      <c r="Y70" s="46">
        <v>0</v>
      </c>
      <c r="Z70" s="46">
        <v>0</v>
      </c>
      <c r="AA70" s="46">
        <v>0</v>
      </c>
      <c r="AB70" s="46">
        <v>0</v>
      </c>
      <c r="AC70" s="46">
        <v>0</v>
      </c>
      <c r="AD70" s="46">
        <v>0</v>
      </c>
      <c r="AE70" s="46">
        <v>0</v>
      </c>
      <c r="AF70" s="46">
        <v>0</v>
      </c>
      <c r="AG70" s="76"/>
      <c r="AH70" s="309"/>
      <c r="AI70"/>
      <c r="AJ70"/>
      <c r="AK70"/>
    </row>
    <row r="71" spans="1:39" s="44" customFormat="1" ht="15" customHeight="1" x14ac:dyDescent="0.25">
      <c r="A71" s="86"/>
      <c r="B71" s="759"/>
      <c r="C71" s="88"/>
      <c r="D71" s="119">
        <v>7</v>
      </c>
      <c r="E71" s="768"/>
      <c r="F71" s="769"/>
      <c r="G71" s="770" t="s">
        <v>127</v>
      </c>
      <c r="H71" s="771">
        <f>+H70</f>
        <v>0</v>
      </c>
      <c r="I71" s="29">
        <v>0</v>
      </c>
      <c r="J71" s="112">
        <f ca="1">SUMIF(T$3:$T72,"ok",T71:AF71)</f>
        <v>0</v>
      </c>
      <c r="K71" s="523" t="str">
        <f t="shared" ca="1" si="12"/>
        <v>0,00%</v>
      </c>
      <c r="L71" s="29">
        <f>+'P05 2025'!EP8</f>
        <v>0</v>
      </c>
      <c r="M71" s="228">
        <f t="shared" si="11"/>
        <v>0</v>
      </c>
      <c r="N71" s="771">
        <f>+I71-L71</f>
        <v>0</v>
      </c>
      <c r="O71" s="696">
        <f t="shared" si="13"/>
        <v>0</v>
      </c>
      <c r="P71" s="321">
        <v>0</v>
      </c>
      <c r="Q71" s="112">
        <f>SUMIF(S$3:$AF3,"SI",S71:AF71)</f>
        <v>8187173.2240000004</v>
      </c>
      <c r="R71" s="1251" t="str">
        <f t="shared" si="14"/>
        <v>0,0%</v>
      </c>
      <c r="S71" s="1251"/>
      <c r="T71" s="772">
        <f>+'P05 2024'!H8</f>
        <v>8187173.2240000004</v>
      </c>
      <c r="U71" s="1052">
        <v>0</v>
      </c>
      <c r="V71" s="771">
        <v>0</v>
      </c>
      <c r="W71" s="1060">
        <v>0</v>
      </c>
      <c r="X71" s="7">
        <v>0</v>
      </c>
      <c r="Y71" s="7">
        <v>0</v>
      </c>
      <c r="Z71" s="7">
        <v>0</v>
      </c>
      <c r="AA71" s="7">
        <v>0</v>
      </c>
      <c r="AB71" s="7">
        <v>0</v>
      </c>
      <c r="AC71" s="7">
        <v>0</v>
      </c>
      <c r="AD71" s="7">
        <v>0</v>
      </c>
      <c r="AE71" s="7">
        <v>0</v>
      </c>
      <c r="AF71" s="7">
        <v>0</v>
      </c>
      <c r="AG71" s="408"/>
      <c r="AH71" s="409"/>
      <c r="AI71"/>
      <c r="AJ71"/>
      <c r="AK71"/>
    </row>
    <row r="72" spans="1:39" ht="15" customHeight="1" x14ac:dyDescent="0.25">
      <c r="B72" s="1239">
        <v>35</v>
      </c>
      <c r="C72" s="9"/>
      <c r="D72" s="326"/>
      <c r="E72" s="10"/>
      <c r="F72" s="63">
        <v>35</v>
      </c>
      <c r="G72" s="742" t="s">
        <v>124</v>
      </c>
      <c r="H72" s="2">
        <v>0</v>
      </c>
      <c r="I72" s="2">
        <v>0</v>
      </c>
      <c r="J72" s="208">
        <f ca="1">SUMIF(T$3:$AF56,"ok",T72:AF72)</f>
        <v>0</v>
      </c>
      <c r="K72" s="743" t="str">
        <f ca="1">IFERROR(J72/I72,"0,0%")</f>
        <v>0,0%</v>
      </c>
      <c r="L72" s="2">
        <v>0</v>
      </c>
      <c r="M72" s="744">
        <f t="shared" si="11"/>
        <v>0</v>
      </c>
      <c r="N72" s="2">
        <v>0</v>
      </c>
      <c r="O72" s="1252">
        <f t="shared" si="13"/>
        <v>0</v>
      </c>
      <c r="P72" s="1253">
        <v>0</v>
      </c>
      <c r="Q72" s="2">
        <f ca="1">SUMIF(V$3:$AF60,"SI",V72:AF72)</f>
        <v>0</v>
      </c>
      <c r="R72" s="744" t="str">
        <f ca="1">IFERROR(Q72/P72,"0,0%")</f>
        <v>0,0%</v>
      </c>
      <c r="S72" s="744"/>
      <c r="T72" s="776">
        <v>0</v>
      </c>
      <c r="U72" s="776">
        <v>0</v>
      </c>
      <c r="V72" s="2">
        <v>0</v>
      </c>
      <c r="W72" s="1062">
        <v>0</v>
      </c>
      <c r="X72" s="2">
        <v>0</v>
      </c>
      <c r="Y72" s="2">
        <v>0</v>
      </c>
      <c r="Z72" s="2">
        <v>0</v>
      </c>
      <c r="AA72" s="2">
        <v>0</v>
      </c>
      <c r="AB72" s="2"/>
      <c r="AC72" s="2"/>
      <c r="AD72" s="8"/>
      <c r="AE72" s="8"/>
      <c r="AF72" s="8"/>
      <c r="AG72" s="1"/>
      <c r="AH72" s="309"/>
      <c r="AI72"/>
      <c r="AJ72"/>
      <c r="AK72"/>
    </row>
    <row r="73" spans="1:39" ht="15" x14ac:dyDescent="0.25">
      <c r="K73" s="154"/>
      <c r="M73" s="129"/>
      <c r="O73" s="129"/>
      <c r="P73" s="323"/>
      <c r="R73" s="152"/>
      <c r="S73" s="152"/>
      <c r="T73" s="152"/>
      <c r="U73" s="152"/>
      <c r="V73" s="152"/>
      <c r="Z73" s="1"/>
      <c r="AG73" s="1"/>
      <c r="AH73" s="309"/>
      <c r="AI73"/>
      <c r="AJ73"/>
      <c r="AK73"/>
    </row>
    <row r="74" spans="1:39" ht="15" x14ac:dyDescent="0.25">
      <c r="K74" s="154"/>
      <c r="M74" s="129"/>
      <c r="O74" s="129"/>
      <c r="P74" s="323"/>
      <c r="R74" s="152"/>
      <c r="S74" s="152"/>
      <c r="T74" s="152"/>
      <c r="U74" s="152"/>
      <c r="V74" s="152"/>
      <c r="AG74" s="1"/>
      <c r="AH74" s="309"/>
      <c r="AI74"/>
      <c r="AJ74"/>
      <c r="AK74"/>
    </row>
    <row r="75" spans="1:39" x14ac:dyDescent="0.2">
      <c r="P75" s="324"/>
      <c r="R75" s="216"/>
      <c r="S75" s="216"/>
      <c r="T75" s="216"/>
      <c r="U75" s="216"/>
      <c r="V75" s="216"/>
      <c r="AH75" s="210"/>
      <c r="AI75" s="210"/>
      <c r="AJ75" s="210"/>
      <c r="AK75" s="210"/>
      <c r="AL75" s="210"/>
      <c r="AM75" s="312"/>
    </row>
    <row r="76" spans="1:39" x14ac:dyDescent="0.2">
      <c r="P76" s="324"/>
      <c r="R76" s="216"/>
      <c r="S76" s="216"/>
      <c r="T76" s="216"/>
      <c r="U76" s="216"/>
      <c r="V76" s="216"/>
      <c r="AH76" s="210"/>
      <c r="AI76" s="210"/>
      <c r="AJ76" s="210"/>
      <c r="AK76" s="210"/>
      <c r="AL76" s="210"/>
    </row>
    <row r="77" spans="1:39" x14ac:dyDescent="0.2">
      <c r="P77" s="324"/>
      <c r="R77" s="216"/>
      <c r="S77" s="216"/>
      <c r="V77" s="216"/>
      <c r="AH77" s="210"/>
      <c r="AI77" s="210"/>
      <c r="AJ77" s="210"/>
      <c r="AK77" s="210"/>
      <c r="AL77" s="210"/>
    </row>
    <row r="78" spans="1:39" x14ac:dyDescent="0.2">
      <c r="G78" s="3"/>
      <c r="K78" s="3"/>
      <c r="P78" s="324"/>
      <c r="R78" s="216"/>
      <c r="S78" s="216"/>
      <c r="T78" s="216"/>
      <c r="U78" s="216"/>
      <c r="V78" s="216"/>
      <c r="AH78" s="210"/>
      <c r="AI78" s="210"/>
      <c r="AJ78" s="210"/>
      <c r="AK78" s="210"/>
      <c r="AL78" s="210"/>
    </row>
    <row r="79" spans="1:39" x14ac:dyDescent="0.2">
      <c r="G79" s="3"/>
      <c r="K79" s="3"/>
      <c r="P79" s="324"/>
      <c r="R79" s="216"/>
      <c r="S79" s="216"/>
      <c r="T79" s="216"/>
      <c r="U79" s="216"/>
      <c r="V79" s="216"/>
      <c r="AH79" s="210"/>
      <c r="AI79" s="210"/>
      <c r="AJ79" s="210"/>
      <c r="AK79" s="210"/>
      <c r="AL79" s="210"/>
    </row>
    <row r="80" spans="1:39" x14ac:dyDescent="0.2">
      <c r="G80" s="3"/>
      <c r="K80" s="3"/>
      <c r="AH80" s="210"/>
      <c r="AI80" s="210"/>
      <c r="AJ80" s="210"/>
      <c r="AK80" s="210"/>
      <c r="AL80" s="210"/>
    </row>
    <row r="81" spans="7:38" x14ac:dyDescent="0.2">
      <c r="G81" s="3"/>
      <c r="K81" s="3"/>
      <c r="AH81" s="210"/>
      <c r="AI81" s="210"/>
      <c r="AJ81" s="210"/>
      <c r="AK81" s="210"/>
      <c r="AL81" s="210"/>
    </row>
    <row r="82" spans="7:38" x14ac:dyDescent="0.2">
      <c r="AH82" s="210"/>
      <c r="AI82" s="210"/>
      <c r="AJ82" s="210"/>
      <c r="AK82" s="210"/>
      <c r="AL82" s="210"/>
    </row>
    <row r="83" spans="7:38" x14ac:dyDescent="0.2">
      <c r="AH83" s="210"/>
      <c r="AI83" s="210"/>
      <c r="AJ83" s="210"/>
      <c r="AK83" s="210"/>
      <c r="AL83" s="210"/>
    </row>
    <row r="84" spans="7:38" x14ac:dyDescent="0.2">
      <c r="AH84" s="210"/>
      <c r="AI84" s="210"/>
      <c r="AJ84" s="210"/>
      <c r="AK84" s="210"/>
      <c r="AL84" s="210"/>
    </row>
    <row r="85" spans="7:38" x14ac:dyDescent="0.2">
      <c r="AH85" s="210"/>
      <c r="AI85" s="210"/>
      <c r="AJ85" s="210"/>
      <c r="AK85" s="210"/>
      <c r="AL85" s="210"/>
    </row>
    <row r="86" spans="7:38" x14ac:dyDescent="0.2">
      <c r="AH86" s="210"/>
      <c r="AI86" s="210"/>
      <c r="AJ86" s="210"/>
      <c r="AK86" s="210"/>
      <c r="AL86" s="210"/>
    </row>
  </sheetData>
  <mergeCells count="13">
    <mergeCell ref="B2:R2"/>
    <mergeCell ref="B5:R5"/>
    <mergeCell ref="H6:O6"/>
    <mergeCell ref="B6:G8"/>
    <mergeCell ref="P6:R6"/>
    <mergeCell ref="U7:V7"/>
    <mergeCell ref="U6:V6"/>
    <mergeCell ref="U5:V5"/>
    <mergeCell ref="U2:V2"/>
    <mergeCell ref="S7:T7"/>
    <mergeCell ref="S6:T6"/>
    <mergeCell ref="S2:T2"/>
    <mergeCell ref="S5:T5"/>
  </mergeCells>
  <phoneticPr fontId="24" type="noConversion"/>
  <conditionalFormatting sqref="H59:L72">
    <cfRule type="cellIs" dxfId="11" priority="42" operator="equal">
      <formula>"·¡$S$$P$16"</formula>
    </cfRule>
  </conditionalFormatting>
  <conditionalFormatting sqref="J36:O57">
    <cfRule type="cellIs" dxfId="10" priority="23" operator="equal">
      <formula>"·¡$S$$P$16"</formula>
    </cfRule>
  </conditionalFormatting>
  <conditionalFormatting sqref="M11:M33">
    <cfRule type="cellIs" dxfId="9" priority="2" operator="equal">
      <formula>"·¡$S$$P$16"</formula>
    </cfRule>
  </conditionalFormatting>
  <conditionalFormatting sqref="M13:O28 M29:N31 P32:U32 H34:M34 H35:N35 H58:M58 O58:O60 Q58:U71 M59:N60 M61:O71 M70:M72 O70:O72">
    <cfRule type="cellIs" dxfId="8" priority="431" operator="equal">
      <formula>"·¡$S$$P$16"</formula>
    </cfRule>
  </conditionalFormatting>
  <conditionalFormatting sqref="N12:N34">
    <cfRule type="cellIs" dxfId="7" priority="5" operator="equal">
      <formula>"·¡$S$$P$16"</formula>
    </cfRule>
  </conditionalFormatting>
  <conditionalFormatting sqref="N58:N72">
    <cfRule type="cellIs" dxfId="6" priority="4" operator="equal">
      <formula>"·¡$S$$P$16"</formula>
    </cfRule>
  </conditionalFormatting>
  <conditionalFormatting sqref="O12:O35">
    <cfRule type="cellIs" dxfId="5" priority="1" operator="equal">
      <formula>"·¡$S$$P$16"</formula>
    </cfRule>
  </conditionalFormatting>
  <conditionalFormatting sqref="P56:P72">
    <cfRule type="cellIs" dxfId="4" priority="13" operator="equal">
      <formula>"·¡$S$$P$16"</formula>
    </cfRule>
  </conditionalFormatting>
  <conditionalFormatting sqref="P33:Q35">
    <cfRule type="cellIs" dxfId="3" priority="8" operator="equal">
      <formula>"·¡$S$$P$16"</formula>
    </cfRule>
  </conditionalFormatting>
  <conditionalFormatting sqref="Q12:U31">
    <cfRule type="cellIs" dxfId="2" priority="46" operator="equal">
      <formula>"·¡$S$$P$16"</formula>
    </cfRule>
  </conditionalFormatting>
  <conditionalFormatting sqref="R33:U57">
    <cfRule type="cellIs" dxfId="1" priority="25" operator="equal">
      <formula>"·¡$S$$P$16"</formula>
    </cfRule>
  </conditionalFormatting>
  <conditionalFormatting sqref="X9:AF10 H9:W11 H12:L33 V12:V71 W32 AB32:AC33 W34:W35 AB36:AC57 W58 W70:AF70 Q72:AC72 H73:V76 H77:S77 V77 G78:L81 H78:V1048576">
    <cfRule type="cellIs" dxfId="0" priority="3" operator="equal">
      <formula>"·¡$S$$P$16"</formula>
    </cfRule>
  </conditionalFormatting>
  <printOptions horizontalCentered="1"/>
  <pageMargins left="1" right="1" top="1" bottom="1" header="0.5" footer="0.5"/>
  <pageSetup paperSize="5" scale="47" fitToHeight="0" orientation="landscape" r:id="rId1"/>
  <ignoredErrors>
    <ignoredError sqref="R10 K10 J71 L34 R57 M57:O57 M53 K35 R38:R49 R34:R35 T32:T33 T36:T37 K34 T34:T35 T50:T52 K38:Q49 T38:T49 L35:Q35 T54:T56 K53:L53 T53 T58:T71 K57:L57 P57:Q57 T57 M34:N34 V32:V33 V36:V37 V34:V35 V50:V52 V38:V49 V54:V56 V53 V58:V71 V57 W32:W33 W36:W37 W34:W35 W50:W52 W38:W49 W54:W56 W53 W58:W71 W57 X32:X33 X36:X37 X34:X35 X50:X52 X38:X49 X54:X56 X53 X58:X71 X57 Y32:Y33 Y36:Y37 Y34:Y35 Y50:Y52 Y38:Y49 Y54:Y56 Y53 Y58:Y71 Y57 Z32:Z33 Z36:Z37 Z34:Z35 Z50:Z52 Z38:Z49 Z54:Z56 Z53 Z58:Z71 Z57 AA32:AA33 AA36:AA37 AA34:AA35 AA50:AA52 AA38:AA49 AA54:AA56 AA53 AA58:AA71 AA57 AB32:AB33 AB36:AB37 AB34:AB35 AB50:AB52 AB38:AB49 AB54:AB56 AB53 AB58:AB71 AB57 AC32:AC33 AC36:AC37 AC34:AC35 AC50:AC52 AC38:AC49 AC54:AC56 AC53 AC58:AC71 AC57 AD32:AD33 AD36:AD37 AD34:AD35 AD50:AD52 AD38:AD49 AD54:AD56 AD53 AD58:AD71 AD57 AE32:AE33 AE36:AE37 AE34:AE35 AE50:AE52 AE38:AE49 AE54:AE56 AE53 AE58:AE71 AE57 AF32:AF33 AF36:AF37 AF34:AF35 AF50:AF52 AF38:AF49 AF54:AF56 AF53 AF58:AF71 AF57 K58:R58 N53:O53 K54:R56 K50:R52 K36:R37 K32:P32 K71 R71 K61:P70 R61:R70 R53 K60:O60 K59:O59 R59 R60 K33 R32 M33:O33 M71:P71 P34" formula="1"/>
    <ignoredError sqref="C35 C58 C11 D58:D59 D34:D38 D13:D14 D40:D50 F16:F27 F53"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DFDD"/>
  </sheetPr>
  <dimension ref="A1:FU226"/>
  <sheetViews>
    <sheetView showGridLines="0" zoomScale="90" zoomScaleNormal="90" workbookViewId="0">
      <pane xSplit="1" ySplit="2" topLeftCell="L3" activePane="bottomRight" state="frozen"/>
      <selection pane="topRight" activeCell="B1" sqref="B1"/>
      <selection pane="bottomLeft" activeCell="A3" sqref="A3"/>
      <selection pane="bottomRight" activeCell="A2" sqref="A2:XFD2"/>
    </sheetView>
  </sheetViews>
  <sheetFormatPr baseColWidth="10" defaultColWidth="11.42578125" defaultRowHeight="15" customHeight="1" x14ac:dyDescent="0.25"/>
  <cols>
    <col min="1" max="1" width="4.85546875" style="891" customWidth="1"/>
    <col min="2" max="2" width="53.42578125" style="547" hidden="1" customWidth="1"/>
    <col min="3" max="3" width="21.140625" style="547" hidden="1" customWidth="1"/>
    <col min="4" max="4" width="18.85546875" style="547" hidden="1" customWidth="1"/>
    <col min="5" max="5" width="17.5703125" style="547" hidden="1" customWidth="1"/>
    <col min="6" max="6" width="21.42578125" style="547" hidden="1" customWidth="1"/>
    <col min="7" max="7" width="17.42578125" style="547" hidden="1" customWidth="1"/>
    <col min="8" max="11" width="13" style="547" hidden="1" customWidth="1"/>
    <col min="12" max="14" width="4.7109375" style="547" customWidth="1"/>
    <col min="15" max="15" width="34.7109375" style="547" customWidth="1"/>
    <col min="16" max="17" width="10" style="547" customWidth="1"/>
    <col min="18" max="18" width="11.42578125" style="547" customWidth="1"/>
    <col min="19" max="19" width="33.85546875" style="547" customWidth="1"/>
    <col min="20" max="20" width="17.7109375" style="547" hidden="1" customWidth="1"/>
    <col min="21" max="21" width="17.42578125" style="547" hidden="1" customWidth="1"/>
    <col min="22" max="22" width="17.5703125" style="547" hidden="1" customWidth="1"/>
    <col min="23" max="23" width="20.5703125" style="547" hidden="1" customWidth="1"/>
    <col min="24" max="27" width="13.7109375" style="547" customWidth="1"/>
    <col min="28" max="28" width="11.42578125" style="547" customWidth="1"/>
    <col min="29" max="29" width="53.42578125" style="547" hidden="1" customWidth="1"/>
    <col min="30" max="30" width="17.42578125" style="547" hidden="1" customWidth="1"/>
    <col min="31" max="31" width="18.5703125" style="547" hidden="1" customWidth="1"/>
    <col min="32" max="32" width="11.42578125" style="547" hidden="1" customWidth="1"/>
    <col min="33" max="33" width="53.42578125" style="547" hidden="1" customWidth="1"/>
    <col min="34" max="34" width="17.7109375" style="547" hidden="1" customWidth="1"/>
    <col min="35" max="35" width="17.42578125" style="547" hidden="1" customWidth="1"/>
    <col min="36" max="36" width="17.5703125" style="547" hidden="1" customWidth="1"/>
    <col min="37" max="37" width="20.5703125" style="547" hidden="1" customWidth="1"/>
    <col min="38" max="38" width="21.85546875" style="547" hidden="1" customWidth="1"/>
    <col min="39" max="39" width="18.5703125" style="547" hidden="1" customWidth="1"/>
    <col min="40" max="40" width="17.5703125" style="547" hidden="1" customWidth="1"/>
    <col min="41" max="41" width="20.5703125" style="547" hidden="1" customWidth="1"/>
    <col min="42" max="43" width="11.42578125" style="547" hidden="1" customWidth="1"/>
    <col min="44" max="44" width="54.5703125" style="547" hidden="1" customWidth="1"/>
    <col min="45" max="45" width="17.42578125" style="547" hidden="1" customWidth="1"/>
    <col min="46" max="46" width="18.5703125" style="547" hidden="1" customWidth="1"/>
    <col min="47" max="47" width="11.42578125" style="547" hidden="1" customWidth="1"/>
    <col min="48" max="48" width="54.5703125" style="547" hidden="1" customWidth="1"/>
    <col min="49" max="49" width="17.7109375" style="547" hidden="1" customWidth="1"/>
    <col min="50" max="50" width="17.42578125" style="547" hidden="1" customWidth="1"/>
    <col min="51" max="51" width="17.5703125" style="547" hidden="1" customWidth="1"/>
    <col min="52" max="52" width="20.5703125" style="547" hidden="1" customWidth="1"/>
    <col min="53" max="53" width="21.85546875" style="547" hidden="1" customWidth="1"/>
    <col min="54" max="54" width="18.5703125" style="547" hidden="1" customWidth="1"/>
    <col min="55" max="55" width="19.7109375" style="547" hidden="1" customWidth="1"/>
    <col min="56" max="56" width="20.5703125" style="547" hidden="1" customWidth="1"/>
    <col min="57" max="58" width="11.42578125" style="547" hidden="1" customWidth="1"/>
    <col min="59" max="59" width="53.140625" style="547" hidden="1" customWidth="1"/>
    <col min="60" max="60" width="17.42578125" style="547" hidden="1" customWidth="1"/>
    <col min="61" max="61" width="18.5703125" style="547" hidden="1" customWidth="1"/>
    <col min="62" max="62" width="11.42578125" style="547" hidden="1" customWidth="1"/>
    <col min="63" max="63" width="54.5703125" style="547" hidden="1" customWidth="1"/>
    <col min="64" max="64" width="17.7109375" style="547" hidden="1" customWidth="1"/>
    <col min="65" max="65" width="17.42578125" style="547" hidden="1" customWidth="1"/>
    <col min="66" max="66" width="17.5703125" style="547" hidden="1" customWidth="1"/>
    <col min="67" max="67" width="20.5703125" style="547" hidden="1" customWidth="1"/>
    <col min="68" max="68" width="21.85546875" style="547" hidden="1" customWidth="1"/>
    <col min="69" max="69" width="18.5703125" style="547" hidden="1" customWidth="1"/>
    <col min="70" max="70" width="19.7109375" style="547" hidden="1" customWidth="1"/>
    <col min="71" max="71" width="20.5703125" style="547" hidden="1" customWidth="1"/>
    <col min="72" max="73" width="11.42578125" style="547" hidden="1" customWidth="1"/>
    <col min="74" max="74" width="53.42578125" style="547" hidden="1" customWidth="1"/>
    <col min="75" max="76" width="18.5703125" style="547" hidden="1" customWidth="1"/>
    <col min="77" max="77" width="11.42578125" style="547" hidden="1" customWidth="1"/>
    <col min="78" max="78" width="54.5703125" style="547" hidden="1" customWidth="1"/>
    <col min="79" max="79" width="17.7109375" style="547" hidden="1" customWidth="1"/>
    <col min="80" max="80" width="17.42578125" style="547" hidden="1" customWidth="1"/>
    <col min="81" max="81" width="17.5703125" style="547" hidden="1" customWidth="1"/>
    <col min="82" max="82" width="20.5703125" style="547" hidden="1" customWidth="1"/>
    <col min="83" max="83" width="21.85546875" style="547" hidden="1" customWidth="1"/>
    <col min="84" max="84" width="18.5703125" style="547" hidden="1" customWidth="1"/>
    <col min="85" max="85" width="19.7109375" style="547" hidden="1" customWidth="1"/>
    <col min="86" max="86" width="20.5703125" style="547" hidden="1" customWidth="1"/>
    <col min="87" max="88" width="11.42578125" style="547" hidden="1" customWidth="1"/>
    <col min="89" max="89" width="53.140625" style="547" hidden="1" customWidth="1"/>
    <col min="90" max="90" width="18.5703125" style="546" hidden="1" customWidth="1"/>
    <col min="91" max="91" width="18.5703125" style="547" hidden="1" customWidth="1"/>
    <col min="92" max="92" width="2.42578125" style="547" hidden="1" customWidth="1"/>
    <col min="93" max="93" width="11.42578125" style="547" hidden="1" customWidth="1"/>
    <col min="94" max="94" width="54.5703125" style="547" hidden="1" customWidth="1"/>
    <col min="95" max="95" width="20.7109375" style="546" hidden="1" customWidth="1"/>
    <col min="96" max="96" width="18.5703125" style="546" hidden="1" customWidth="1"/>
    <col min="97" max="97" width="19.7109375" style="546" hidden="1" customWidth="1"/>
    <col min="98" max="98" width="20.5703125" style="546" hidden="1" customWidth="1"/>
    <col min="99" max="99" width="21.85546875" style="547" hidden="1" customWidth="1"/>
    <col min="100" max="100" width="18.5703125" style="547" hidden="1" customWidth="1"/>
    <col min="101" max="101" width="19.7109375" style="547" hidden="1" customWidth="1"/>
    <col min="102" max="102" width="20.5703125" style="547" hidden="1" customWidth="1"/>
    <col min="103" max="103" width="11.42578125" style="547" hidden="1" customWidth="1"/>
    <col min="104" max="104" width="54.5703125" style="547" hidden="1" customWidth="1"/>
    <col min="105" max="105" width="18.5703125" style="546" hidden="1" customWidth="1"/>
    <col min="106" max="106" width="18.5703125" style="547" hidden="1" customWidth="1"/>
    <col min="107" max="107" width="2.42578125" style="547" hidden="1" customWidth="1"/>
    <col min="108" max="108" width="11.42578125" style="547" hidden="1" customWidth="1"/>
    <col min="109" max="109" width="54.5703125" style="547" hidden="1" customWidth="1"/>
    <col min="110" max="110" width="18.85546875" style="547" hidden="1" customWidth="1"/>
    <col min="111" max="111" width="18.5703125" style="547" hidden="1" customWidth="1"/>
    <col min="112" max="112" width="18.7109375" style="547" hidden="1" customWidth="1"/>
    <col min="113" max="113" width="20.5703125" style="547" hidden="1" customWidth="1"/>
    <col min="114" max="114" width="21.85546875" style="547" hidden="1" customWidth="1"/>
    <col min="115" max="115" width="18.5703125" style="547" hidden="1" customWidth="1"/>
    <col min="116" max="116" width="19.7109375" style="547" hidden="1" customWidth="1"/>
    <col min="117" max="117" width="20.5703125" style="547" hidden="1" customWidth="1"/>
    <col min="118" max="119" width="11.42578125" style="547" hidden="1" customWidth="1"/>
    <col min="120" max="120" width="53.140625" style="547" hidden="1" customWidth="1"/>
    <col min="121" max="121" width="18.5703125" style="547" hidden="1" customWidth="1"/>
    <col min="122" max="122" width="17.85546875" style="547" hidden="1" customWidth="1"/>
    <col min="123" max="123" width="11.42578125" style="547" hidden="1" customWidth="1"/>
    <col min="124" max="124" width="54.5703125" style="547" hidden="1" customWidth="1"/>
    <col min="125" max="125" width="20.140625" style="546" hidden="1" customWidth="1"/>
    <col min="126" max="126" width="18.5703125" style="546" hidden="1" customWidth="1"/>
    <col min="127" max="127" width="19.7109375" style="546" hidden="1" customWidth="1"/>
    <col min="128" max="128" width="20.5703125" style="546" hidden="1" customWidth="1"/>
    <col min="129" max="129" width="21.85546875" style="547" hidden="1" customWidth="1"/>
    <col min="130" max="130" width="18.5703125" style="547" hidden="1" customWidth="1"/>
    <col min="131" max="131" width="19.7109375" style="547" hidden="1" customWidth="1"/>
    <col min="132" max="132" width="20.5703125" style="547" hidden="1" customWidth="1"/>
    <col min="133" max="134" width="11.42578125" style="547" hidden="1" customWidth="1"/>
    <col min="135" max="135" width="53.42578125" style="547" hidden="1" customWidth="1"/>
    <col min="136" max="136" width="18.5703125" style="546" hidden="1" customWidth="1"/>
    <col min="137" max="137" width="18.5703125" style="547" hidden="1" customWidth="1"/>
    <col min="138" max="138" width="11.42578125" style="547" hidden="1" customWidth="1"/>
    <col min="139" max="139" width="54.5703125" style="547" hidden="1" customWidth="1"/>
    <col min="140" max="140" width="21.85546875" style="546" hidden="1" customWidth="1"/>
    <col min="141" max="141" width="19.7109375" style="546" hidden="1" customWidth="1"/>
    <col min="142" max="142" width="18.5703125" style="546" hidden="1" customWidth="1"/>
    <col min="143" max="143" width="21.85546875" style="547" hidden="1" customWidth="1"/>
    <col min="144" max="144" width="22" style="547" hidden="1" customWidth="1"/>
    <col min="145" max="145" width="23.28515625" style="547" hidden="1" customWidth="1"/>
    <col min="146" max="147" width="11.42578125" style="547" hidden="1" customWidth="1"/>
    <col min="148" max="148" width="54.5703125" style="547" hidden="1" customWidth="1"/>
    <col min="149" max="149" width="18.5703125" style="547" hidden="1" customWidth="1"/>
    <col min="150" max="150" width="17.42578125" style="547" hidden="1" customWidth="1"/>
    <col min="151" max="151" width="2.42578125" style="547" hidden="1" customWidth="1"/>
    <col min="152" max="152" width="11.42578125" style="547" hidden="1" customWidth="1"/>
    <col min="153" max="153" width="54.5703125" style="547" hidden="1" customWidth="1"/>
    <col min="154" max="154" width="21.140625" style="547" hidden="1" customWidth="1"/>
    <col min="155" max="155" width="20.7109375" style="547" hidden="1" customWidth="1"/>
    <col min="156" max="156" width="18.5703125" style="547" hidden="1" customWidth="1"/>
    <col min="157" max="157" width="19.7109375" style="547" hidden="1" customWidth="1"/>
    <col min="158" max="158" width="21.42578125" style="547" hidden="1" customWidth="1"/>
    <col min="159" max="159" width="21.140625" style="553" hidden="1" customWidth="1"/>
    <col min="160" max="160" width="21.85546875" style="547" hidden="1" customWidth="1"/>
    <col min="161" max="161" width="18.5703125" style="547" hidden="1" customWidth="1"/>
    <col min="162" max="162" width="19.7109375" style="547" hidden="1" customWidth="1"/>
    <col min="163" max="163" width="20.5703125" style="547" hidden="1" customWidth="1"/>
    <col min="164" max="165" width="11.42578125" style="547" hidden="1" customWidth="1"/>
    <col min="166" max="166" width="54.5703125" style="547" hidden="1" customWidth="1"/>
    <col min="167" max="167" width="13.28515625" style="546" hidden="1" customWidth="1"/>
    <col min="168" max="168" width="12.28515625" style="547" hidden="1" customWidth="1"/>
    <col min="169" max="169" width="11.42578125" style="547" hidden="1" customWidth="1"/>
    <col min="170" max="170" width="54.5703125" style="547" hidden="1" customWidth="1"/>
    <col min="171" max="171" width="12.42578125" style="547" hidden="1" customWidth="1"/>
    <col min="172" max="173" width="12.7109375" style="547" hidden="1" customWidth="1"/>
    <col min="174" max="174" width="15.5703125" style="553" hidden="1" customWidth="1"/>
    <col min="175" max="175" width="12.28515625" style="547" hidden="1" customWidth="1"/>
    <col min="176" max="176" width="13.42578125" style="547" hidden="1" customWidth="1"/>
    <col min="177" max="177" width="11.42578125" style="547" hidden="1" customWidth="1"/>
    <col min="178" max="183" width="11.42578125" style="547" customWidth="1"/>
    <col min="184" max="16384" width="11.42578125" style="547"/>
  </cols>
  <sheetData>
    <row r="1" spans="1:176" s="538" customFormat="1" ht="16.5" customHeight="1" x14ac:dyDescent="0.25">
      <c r="A1" s="1301" t="s">
        <v>1022</v>
      </c>
      <c r="B1" s="1301"/>
      <c r="C1" s="1301"/>
      <c r="D1" s="1301"/>
      <c r="E1" s="1301"/>
      <c r="F1" s="1301"/>
      <c r="G1" s="1301"/>
      <c r="I1" s="538">
        <v>1000</v>
      </c>
      <c r="J1" s="538">
        <v>1.042</v>
      </c>
      <c r="O1" s="538" t="s">
        <v>136</v>
      </c>
      <c r="P1" s="538">
        <v>1000</v>
      </c>
      <c r="Q1" s="538">
        <v>1.042</v>
      </c>
      <c r="S1" s="1298" t="s">
        <v>911</v>
      </c>
      <c r="T1" s="1298"/>
      <c r="U1" s="1298"/>
      <c r="V1" s="1298"/>
      <c r="W1" s="1298"/>
      <c r="X1" s="1298"/>
      <c r="Y1" s="1298"/>
      <c r="Z1" s="538">
        <v>1000</v>
      </c>
      <c r="AA1" s="538">
        <v>1.042</v>
      </c>
      <c r="AC1" s="538" t="s">
        <v>6</v>
      </c>
      <c r="AD1" s="538">
        <v>1000</v>
      </c>
      <c r="AE1" s="538">
        <v>1</v>
      </c>
      <c r="AG1" s="1298" t="s">
        <v>836</v>
      </c>
      <c r="AH1" s="1298"/>
      <c r="AI1" s="1298"/>
      <c r="AJ1" s="1298"/>
      <c r="AK1" s="1298"/>
      <c r="AL1" s="1298"/>
      <c r="AM1" s="1298"/>
      <c r="AN1" s="538">
        <v>1000</v>
      </c>
      <c r="AO1" s="538">
        <v>1</v>
      </c>
      <c r="AR1" s="538" t="s">
        <v>7</v>
      </c>
      <c r="AS1" s="538">
        <v>1000</v>
      </c>
      <c r="AT1" s="538">
        <v>1</v>
      </c>
      <c r="AV1" s="1298" t="s">
        <v>931</v>
      </c>
      <c r="AW1" s="1298"/>
      <c r="AX1" s="1298"/>
      <c r="AY1" s="1298"/>
      <c r="AZ1" s="1298"/>
      <c r="BA1" s="1298"/>
      <c r="BB1" s="1298"/>
      <c r="BC1" s="538">
        <v>1000</v>
      </c>
      <c r="BD1" s="538">
        <v>1</v>
      </c>
      <c r="BG1" s="1298" t="s">
        <v>8</v>
      </c>
      <c r="BH1" s="1298"/>
      <c r="BI1" s="1298"/>
      <c r="BK1" s="1298" t="s">
        <v>843</v>
      </c>
      <c r="BL1" s="1298"/>
      <c r="BM1" s="1298"/>
      <c r="BN1" s="1298"/>
      <c r="BO1" s="1298"/>
      <c r="BP1" s="1298"/>
      <c r="BQ1" s="1298"/>
      <c r="BR1" s="538">
        <v>1000</v>
      </c>
      <c r="BS1" s="538">
        <v>1</v>
      </c>
      <c r="BV1" s="538" t="s">
        <v>9</v>
      </c>
      <c r="BW1" s="538">
        <v>1000</v>
      </c>
      <c r="BX1" s="538">
        <v>1</v>
      </c>
      <c r="BZ1" s="1298" t="s">
        <v>853</v>
      </c>
      <c r="CA1" s="1298"/>
      <c r="CB1" s="1298"/>
      <c r="CC1" s="1298"/>
      <c r="CD1" s="1298"/>
      <c r="CE1" s="1298"/>
      <c r="CF1" s="1298"/>
      <c r="CG1" s="538">
        <v>1000</v>
      </c>
      <c r="CH1" s="538">
        <v>1</v>
      </c>
      <c r="CK1" s="1298" t="s">
        <v>79</v>
      </c>
      <c r="CL1" s="1298"/>
      <c r="CM1" s="538">
        <v>1000</v>
      </c>
      <c r="CN1" s="538">
        <v>1</v>
      </c>
      <c r="CP1" s="1298" t="s">
        <v>741</v>
      </c>
      <c r="CQ1" s="1298"/>
      <c r="CR1" s="1298"/>
      <c r="CS1" s="1298"/>
      <c r="CT1" s="539"/>
      <c r="CV1" s="538">
        <v>1000</v>
      </c>
      <c r="CW1" s="538">
        <v>1</v>
      </c>
      <c r="CZ1" s="1298" t="s">
        <v>10</v>
      </c>
      <c r="DA1" s="1298"/>
      <c r="DB1" s="538">
        <v>1000</v>
      </c>
      <c r="DC1" s="538">
        <v>1</v>
      </c>
      <c r="DE1" s="1298" t="s">
        <v>742</v>
      </c>
      <c r="DF1" s="1298"/>
      <c r="DG1" s="1298"/>
      <c r="DH1" s="1298"/>
      <c r="DI1" s="1298"/>
      <c r="DL1" s="538">
        <v>1000</v>
      </c>
      <c r="DM1" s="538">
        <v>1</v>
      </c>
      <c r="DP1" s="537" t="s">
        <v>11</v>
      </c>
      <c r="DQ1" s="538">
        <v>1000</v>
      </c>
      <c r="DR1" s="538">
        <v>1</v>
      </c>
      <c r="DT1" s="1300" t="s">
        <v>865</v>
      </c>
      <c r="DU1" s="1300"/>
      <c r="DV1" s="1300"/>
      <c r="DW1" s="1300"/>
      <c r="DX1" s="1300"/>
      <c r="DY1" s="1300"/>
      <c r="DZ1" s="1300"/>
      <c r="EA1" s="539">
        <v>1000</v>
      </c>
      <c r="EB1" s="539">
        <v>1</v>
      </c>
      <c r="EE1" s="537" t="s">
        <v>12</v>
      </c>
      <c r="EF1" s="539">
        <v>1000</v>
      </c>
      <c r="EG1" s="539">
        <v>1</v>
      </c>
      <c r="EI1" s="537" t="s">
        <v>976</v>
      </c>
      <c r="EJ1" s="539"/>
      <c r="EK1" s="539"/>
      <c r="EL1" s="539"/>
      <c r="EM1" s="539"/>
      <c r="EN1" s="539">
        <v>1000</v>
      </c>
      <c r="EO1" s="539">
        <v>1</v>
      </c>
      <c r="ER1" s="1298" t="s">
        <v>985</v>
      </c>
      <c r="ES1" s="1298"/>
      <c r="ET1" s="538">
        <v>1000</v>
      </c>
      <c r="EU1" s="538">
        <v>1</v>
      </c>
      <c r="EW1" s="1299" t="s">
        <v>763</v>
      </c>
      <c r="EX1" s="1298"/>
      <c r="EY1" s="1298"/>
      <c r="EZ1" s="1298"/>
      <c r="FA1" s="1298"/>
      <c r="FB1" s="1298"/>
      <c r="FC1" s="1298"/>
      <c r="FD1" s="1298"/>
      <c r="FE1" s="1298"/>
      <c r="FF1" s="538">
        <v>1000</v>
      </c>
      <c r="FG1" s="538">
        <v>1</v>
      </c>
      <c r="FJ1" s="538" t="s">
        <v>991</v>
      </c>
      <c r="FK1" s="539">
        <v>1000</v>
      </c>
      <c r="FL1" s="538">
        <v>1</v>
      </c>
      <c r="FN1" s="1298" t="s">
        <v>993</v>
      </c>
      <c r="FO1" s="1298"/>
      <c r="FP1" s="1298"/>
      <c r="FQ1" s="1298"/>
      <c r="FR1" s="538">
        <v>1000</v>
      </c>
      <c r="FS1" s="538">
        <v>1</v>
      </c>
    </row>
    <row r="2" spans="1:176" s="541" customFormat="1" ht="27" x14ac:dyDescent="0.25">
      <c r="A2" s="892" t="s">
        <v>887</v>
      </c>
      <c r="B2" s="540" t="s">
        <v>339</v>
      </c>
      <c r="C2" s="540" t="s">
        <v>880</v>
      </c>
      <c r="D2" s="540" t="s">
        <v>343</v>
      </c>
      <c r="E2" s="540" t="s">
        <v>340</v>
      </c>
      <c r="F2" s="540" t="s">
        <v>409</v>
      </c>
      <c r="G2" s="540" t="s">
        <v>341</v>
      </c>
      <c r="H2" s="540" t="s">
        <v>935</v>
      </c>
      <c r="I2" s="540" t="s">
        <v>932</v>
      </c>
      <c r="J2" s="540" t="s">
        <v>934</v>
      </c>
      <c r="K2" s="540" t="s">
        <v>933</v>
      </c>
      <c r="L2" s="538"/>
      <c r="O2" s="540" t="s">
        <v>339</v>
      </c>
      <c r="P2" s="540" t="s">
        <v>341</v>
      </c>
      <c r="Q2" s="540" t="s">
        <v>341</v>
      </c>
      <c r="S2" s="540" t="s">
        <v>339</v>
      </c>
      <c r="T2" s="540" t="s">
        <v>343</v>
      </c>
      <c r="U2" s="540" t="s">
        <v>341</v>
      </c>
      <c r="V2" s="540" t="s">
        <v>340</v>
      </c>
      <c r="W2" s="540" t="s">
        <v>409</v>
      </c>
      <c r="X2" s="540" t="s">
        <v>935</v>
      </c>
      <c r="Y2" s="540" t="s">
        <v>933</v>
      </c>
      <c r="Z2" s="540" t="s">
        <v>932</v>
      </c>
      <c r="AA2" s="540" t="s">
        <v>934</v>
      </c>
      <c r="AC2" s="540" t="s">
        <v>339</v>
      </c>
      <c r="AD2" s="540" t="s">
        <v>341</v>
      </c>
      <c r="AE2" s="540" t="s">
        <v>341</v>
      </c>
      <c r="AG2" s="540" t="s">
        <v>339</v>
      </c>
      <c r="AH2" s="540" t="s">
        <v>343</v>
      </c>
      <c r="AI2" s="540" t="s">
        <v>341</v>
      </c>
      <c r="AJ2" s="540" t="s">
        <v>340</v>
      </c>
      <c r="AK2" s="540" t="s">
        <v>409</v>
      </c>
      <c r="AL2" s="540" t="s">
        <v>916</v>
      </c>
      <c r="AM2" s="540" t="s">
        <v>341</v>
      </c>
      <c r="AN2" s="540" t="s">
        <v>340</v>
      </c>
      <c r="AO2" s="540" t="s">
        <v>409</v>
      </c>
      <c r="AR2" s="540" t="s">
        <v>339</v>
      </c>
      <c r="AS2" s="540" t="s">
        <v>341</v>
      </c>
      <c r="AT2" s="540" t="s">
        <v>341</v>
      </c>
      <c r="AV2" s="540" t="s">
        <v>339</v>
      </c>
      <c r="AW2" s="540" t="s">
        <v>343</v>
      </c>
      <c r="AX2" s="540" t="s">
        <v>341</v>
      </c>
      <c r="AY2" s="540" t="s">
        <v>340</v>
      </c>
      <c r="AZ2" s="540" t="s">
        <v>409</v>
      </c>
      <c r="BA2" s="540" t="s">
        <v>935</v>
      </c>
      <c r="BB2" s="540" t="s">
        <v>933</v>
      </c>
      <c r="BC2" s="540" t="s">
        <v>932</v>
      </c>
      <c r="BD2" s="540" t="s">
        <v>934</v>
      </c>
      <c r="BG2" s="540" t="s">
        <v>339</v>
      </c>
      <c r="BH2" s="540" t="s">
        <v>341</v>
      </c>
      <c r="BI2" s="540" t="s">
        <v>933</v>
      </c>
      <c r="BK2" s="540" t="s">
        <v>339</v>
      </c>
      <c r="BL2" s="540" t="s">
        <v>343</v>
      </c>
      <c r="BM2" s="540" t="s">
        <v>341</v>
      </c>
      <c r="BN2" s="540" t="s">
        <v>340</v>
      </c>
      <c r="BO2" s="540" t="s">
        <v>409</v>
      </c>
      <c r="BP2" s="540" t="s">
        <v>935</v>
      </c>
      <c r="BQ2" s="540" t="s">
        <v>933</v>
      </c>
      <c r="BR2" s="540" t="s">
        <v>932</v>
      </c>
      <c r="BS2" s="540" t="s">
        <v>934</v>
      </c>
      <c r="BV2" s="540" t="s">
        <v>339</v>
      </c>
      <c r="BW2" s="540" t="s">
        <v>341</v>
      </c>
      <c r="BX2" s="540" t="s">
        <v>933</v>
      </c>
      <c r="BZ2" s="540" t="s">
        <v>339</v>
      </c>
      <c r="CA2" s="540" t="s">
        <v>343</v>
      </c>
      <c r="CB2" s="540" t="s">
        <v>341</v>
      </c>
      <c r="CC2" s="540" t="s">
        <v>340</v>
      </c>
      <c r="CD2" s="540" t="s">
        <v>409</v>
      </c>
      <c r="CE2" s="540" t="s">
        <v>935</v>
      </c>
      <c r="CF2" s="540" t="s">
        <v>933</v>
      </c>
      <c r="CG2" s="540" t="s">
        <v>932</v>
      </c>
      <c r="CH2" s="540" t="s">
        <v>934</v>
      </c>
      <c r="CK2" s="540" t="s">
        <v>339</v>
      </c>
      <c r="CL2" s="540" t="s">
        <v>341</v>
      </c>
      <c r="CM2" s="540" t="s">
        <v>933</v>
      </c>
      <c r="CP2" s="540" t="s">
        <v>339</v>
      </c>
      <c r="CQ2" s="540" t="s">
        <v>343</v>
      </c>
      <c r="CR2" s="540" t="s">
        <v>341</v>
      </c>
      <c r="CS2" s="540" t="s">
        <v>340</v>
      </c>
      <c r="CT2" s="540" t="s">
        <v>409</v>
      </c>
      <c r="CU2" s="540" t="s">
        <v>935</v>
      </c>
      <c r="CV2" s="540" t="s">
        <v>933</v>
      </c>
      <c r="CW2" s="540" t="s">
        <v>932</v>
      </c>
      <c r="CX2" s="540" t="s">
        <v>934</v>
      </c>
      <c r="CZ2" s="540" t="s">
        <v>339</v>
      </c>
      <c r="DA2" s="540" t="s">
        <v>341</v>
      </c>
      <c r="DB2" s="540" t="s">
        <v>341</v>
      </c>
      <c r="DE2" s="540" t="s">
        <v>339</v>
      </c>
      <c r="DF2" s="540" t="s">
        <v>343</v>
      </c>
      <c r="DG2" s="540" t="s">
        <v>341</v>
      </c>
      <c r="DH2" s="540" t="s">
        <v>340</v>
      </c>
      <c r="DI2" s="540" t="s">
        <v>409</v>
      </c>
      <c r="DJ2" s="540" t="s">
        <v>935</v>
      </c>
      <c r="DK2" s="540" t="s">
        <v>933</v>
      </c>
      <c r="DL2" s="540" t="s">
        <v>932</v>
      </c>
      <c r="DM2" s="540" t="s">
        <v>934</v>
      </c>
      <c r="DP2" s="540" t="s">
        <v>339</v>
      </c>
      <c r="DQ2" s="540" t="s">
        <v>341</v>
      </c>
      <c r="DR2" s="540" t="s">
        <v>966</v>
      </c>
      <c r="DT2" s="540" t="s">
        <v>339</v>
      </c>
      <c r="DU2" s="540" t="s">
        <v>343</v>
      </c>
      <c r="DV2" s="540" t="s">
        <v>341</v>
      </c>
      <c r="DW2" s="540" t="s">
        <v>340</v>
      </c>
      <c r="DX2" s="540" t="s">
        <v>409</v>
      </c>
      <c r="DY2" s="540" t="s">
        <v>935</v>
      </c>
      <c r="DZ2" s="540" t="s">
        <v>933</v>
      </c>
      <c r="EA2" s="540" t="s">
        <v>932</v>
      </c>
      <c r="EB2" s="540" t="s">
        <v>934</v>
      </c>
      <c r="EE2" s="540" t="s">
        <v>339</v>
      </c>
      <c r="EF2" s="540" t="s">
        <v>341</v>
      </c>
      <c r="EG2" s="540" t="s">
        <v>933</v>
      </c>
      <c r="EI2" s="540" t="s">
        <v>339</v>
      </c>
      <c r="EJ2" s="540" t="s">
        <v>343</v>
      </c>
      <c r="EK2" s="540" t="s">
        <v>340</v>
      </c>
      <c r="EL2" s="540" t="s">
        <v>341</v>
      </c>
      <c r="EM2" s="540" t="s">
        <v>935</v>
      </c>
      <c r="EN2" s="540" t="s">
        <v>933</v>
      </c>
      <c r="EO2" s="540" t="s">
        <v>932</v>
      </c>
      <c r="ER2" s="540" t="s">
        <v>339</v>
      </c>
      <c r="ES2" s="540" t="s">
        <v>341</v>
      </c>
      <c r="ET2" s="540" t="s">
        <v>341</v>
      </c>
      <c r="EW2" s="540" t="s">
        <v>339</v>
      </c>
      <c r="EX2" s="540" t="s">
        <v>880</v>
      </c>
      <c r="EY2" s="540" t="s">
        <v>343</v>
      </c>
      <c r="EZ2" s="540" t="s">
        <v>341</v>
      </c>
      <c r="FA2" s="540" t="s">
        <v>340</v>
      </c>
      <c r="FB2" s="540" t="s">
        <v>409</v>
      </c>
      <c r="FC2" s="540" t="s">
        <v>986</v>
      </c>
      <c r="FD2" s="540" t="s">
        <v>935</v>
      </c>
      <c r="FE2" s="540" t="s">
        <v>933</v>
      </c>
      <c r="FF2" s="540" t="s">
        <v>987</v>
      </c>
      <c r="FG2" s="540" t="s">
        <v>934</v>
      </c>
      <c r="FJ2" s="540" t="s">
        <v>339</v>
      </c>
      <c r="FK2" s="540" t="s">
        <v>341</v>
      </c>
      <c r="FL2" s="540" t="s">
        <v>933</v>
      </c>
      <c r="FN2" s="540" t="s">
        <v>339</v>
      </c>
      <c r="FO2" s="542" t="s">
        <v>343</v>
      </c>
      <c r="FP2" s="542" t="s">
        <v>341</v>
      </c>
      <c r="FQ2" s="542" t="s">
        <v>340</v>
      </c>
      <c r="FR2" s="540" t="s">
        <v>935</v>
      </c>
      <c r="FS2" s="540" t="s">
        <v>933</v>
      </c>
      <c r="FT2" s="540" t="s">
        <v>932</v>
      </c>
    </row>
    <row r="3" spans="1:176" ht="15" customHeight="1" x14ac:dyDescent="0.25">
      <c r="A3" s="890" t="s">
        <v>431</v>
      </c>
      <c r="B3" s="544" t="s">
        <v>459</v>
      </c>
      <c r="C3" s="545">
        <v>19060021000</v>
      </c>
      <c r="D3" s="545">
        <v>19060021000</v>
      </c>
      <c r="E3" s="545">
        <v>1271754440</v>
      </c>
      <c r="F3" s="545">
        <v>17788266560</v>
      </c>
      <c r="G3" s="545">
        <v>1271754440</v>
      </c>
      <c r="H3" s="546">
        <f>+D3/$I$1*$J$1</f>
        <v>19860541.881999999</v>
      </c>
      <c r="I3" s="546">
        <f>+E3/$I$1*$J$1</f>
        <v>1325168.1264800001</v>
      </c>
      <c r="J3" s="546">
        <f>+F3/$I$1*$J$1</f>
        <v>18535373.755520001</v>
      </c>
      <c r="K3" s="546">
        <f>+G3/$I$1*$J$1</f>
        <v>1325168.1264800001</v>
      </c>
      <c r="O3" s="544" t="s">
        <v>459</v>
      </c>
      <c r="P3" s="545">
        <v>1289694690</v>
      </c>
      <c r="Q3" s="546">
        <f>+P3/$P$1*$Q$1</f>
        <v>1343861.8669799999</v>
      </c>
      <c r="S3" s="544" t="s">
        <v>459</v>
      </c>
      <c r="T3" s="545">
        <v>19060021000</v>
      </c>
      <c r="U3" s="545">
        <v>2561449130</v>
      </c>
      <c r="V3" s="545">
        <v>2561449130</v>
      </c>
      <c r="W3" s="545">
        <v>16498571870</v>
      </c>
      <c r="X3" s="546">
        <f>+T3/$Z$1*$AA$1</f>
        <v>19860541.881999999</v>
      </c>
      <c r="Y3" s="546">
        <f>+U3/$Z$1*$AA$1</f>
        <v>2669029.99346</v>
      </c>
      <c r="Z3" s="546">
        <f>+V3/$Z$1*$AA$1</f>
        <v>2669029.99346</v>
      </c>
      <c r="AA3" s="546">
        <f>+W3/$Z$1*$AA$1</f>
        <v>17191511.88854</v>
      </c>
      <c r="AC3" s="544" t="s">
        <v>459</v>
      </c>
      <c r="AD3" s="545">
        <v>2224450593</v>
      </c>
      <c r="AE3" s="546">
        <f>+AD3/$AD$1*$AE$1</f>
        <v>2224450.5929999999</v>
      </c>
      <c r="AG3" s="544" t="s">
        <v>459</v>
      </c>
      <c r="AH3" s="545">
        <v>19060021000</v>
      </c>
      <c r="AI3" s="545">
        <v>4785899723</v>
      </c>
      <c r="AJ3" s="545">
        <v>4785899723</v>
      </c>
      <c r="AK3" s="545">
        <v>14274121277</v>
      </c>
      <c r="AL3" s="545">
        <f>+AH3/$AN$1*$AO$1</f>
        <v>19060021</v>
      </c>
      <c r="AM3" s="545">
        <f>+AI3/$AN$1*$AO$1</f>
        <v>4785899.7230000002</v>
      </c>
      <c r="AN3" s="545">
        <f>+AJ3/$AN$1*$AO$1</f>
        <v>4785899.7230000002</v>
      </c>
      <c r="AO3" s="545">
        <f>+AK3/$AN$1*$AO$1</f>
        <v>14274121.277000001</v>
      </c>
      <c r="AR3" s="544" t="s">
        <v>459</v>
      </c>
      <c r="AS3" s="545">
        <v>1325958870</v>
      </c>
      <c r="AT3" s="545">
        <f>+AS3/$AS$1*$AT$1</f>
        <v>1325958.8700000001</v>
      </c>
      <c r="AV3" s="544" t="s">
        <v>459</v>
      </c>
      <c r="AW3" s="545">
        <v>19078325000</v>
      </c>
      <c r="AX3" s="545">
        <v>6111858593</v>
      </c>
      <c r="AY3" s="545">
        <v>6111858593</v>
      </c>
      <c r="AZ3" s="545">
        <v>12966466407</v>
      </c>
      <c r="BA3" s="546">
        <f>+AW3/$BC$1*$BD$1</f>
        <v>19078325</v>
      </c>
      <c r="BB3" s="546">
        <f>+AX3/$BC$1*$BD$1</f>
        <v>6111858.5930000003</v>
      </c>
      <c r="BC3" s="546">
        <f>+AY3/$BC$1*$BD$1</f>
        <v>6111858.5930000003</v>
      </c>
      <c r="BD3" s="546">
        <f>+AZ3/$BC$1*$BD$1</f>
        <v>12966466.407</v>
      </c>
      <c r="BG3" s="544" t="s">
        <v>459</v>
      </c>
      <c r="BH3" s="545">
        <v>1314037568</v>
      </c>
      <c r="BI3" s="545">
        <f>+BH3/$BR$1*$BS$1</f>
        <v>1314037.568</v>
      </c>
      <c r="BK3" s="544" t="s">
        <v>459</v>
      </c>
      <c r="BL3" s="545">
        <v>19078325000</v>
      </c>
      <c r="BM3" s="545">
        <v>7425896161</v>
      </c>
      <c r="BN3" s="545">
        <v>7425896161</v>
      </c>
      <c r="BO3" s="545">
        <v>11652428839</v>
      </c>
      <c r="BP3" s="545">
        <f>+BL3/$BR$1*$BS$1</f>
        <v>19078325</v>
      </c>
      <c r="BQ3" s="545">
        <f t="shared" ref="BQ3:BS3" si="0">+BM3/$BR$1*$BS$1</f>
        <v>7425896.1610000003</v>
      </c>
      <c r="BR3" s="545">
        <f t="shared" si="0"/>
        <v>7425896.1610000003</v>
      </c>
      <c r="BS3" s="545">
        <f t="shared" si="0"/>
        <v>11652428.839</v>
      </c>
      <c r="BV3" s="544" t="s">
        <v>459</v>
      </c>
      <c r="BW3" s="545">
        <v>2268204696</v>
      </c>
      <c r="BX3" s="546">
        <f>+BW3/$BW$1*$BX$1</f>
        <v>2268204.696</v>
      </c>
      <c r="BZ3" s="544" t="s">
        <v>459</v>
      </c>
      <c r="CA3" s="545">
        <v>19078325000</v>
      </c>
      <c r="CB3" s="545">
        <v>9694100857</v>
      </c>
      <c r="CC3" s="545">
        <v>9694100857</v>
      </c>
      <c r="CD3" s="545">
        <v>9384224143</v>
      </c>
      <c r="CE3" s="545">
        <f>+CA3/$CG$1*$CH$1</f>
        <v>19078325</v>
      </c>
      <c r="CF3" s="545">
        <f t="shared" ref="CF3:CH3" si="1">+CB3/$CG$1*$CH$1</f>
        <v>9694100.8570000008</v>
      </c>
      <c r="CG3" s="545">
        <f t="shared" si="1"/>
        <v>9694100.8570000008</v>
      </c>
      <c r="CH3" s="545">
        <f t="shared" si="1"/>
        <v>9384224.1429999992</v>
      </c>
      <c r="CK3" s="547" t="s">
        <v>459</v>
      </c>
      <c r="CL3" s="546">
        <v>1318116511</v>
      </c>
      <c r="CM3" s="546">
        <f>+CL3/$CM$1*$CN$1</f>
        <v>1318116.5109999999</v>
      </c>
      <c r="CP3" s="547" t="s">
        <v>459</v>
      </c>
      <c r="CQ3" s="546">
        <v>19013020000</v>
      </c>
      <c r="CR3" s="546">
        <v>11012217368</v>
      </c>
      <c r="CS3" s="546">
        <v>11012217368</v>
      </c>
      <c r="CT3" s="546">
        <v>8000802632</v>
      </c>
      <c r="CU3" s="546">
        <f t="shared" ref="CU3:CU34" si="2">+CQ3/$CV$1*$CW$1</f>
        <v>19013020</v>
      </c>
      <c r="CV3" s="546">
        <f t="shared" ref="CV3:CV34" si="3">+CR3/$CV$1*$CW$1</f>
        <v>11012217.368000001</v>
      </c>
      <c r="CW3" s="546">
        <f t="shared" ref="CW3:CW34" si="4">+CS3/$CV$1*$CW$1</f>
        <v>11012217.368000001</v>
      </c>
      <c r="CX3" s="546">
        <f t="shared" ref="CX3:CX34" si="5">+CT3/$CV$1*$CW$1</f>
        <v>8000802.6320000002</v>
      </c>
      <c r="CZ3" s="547" t="s">
        <v>459</v>
      </c>
      <c r="DA3" s="546">
        <v>1314059529</v>
      </c>
      <c r="DB3" s="546">
        <f>+DA3/$DB$1*$DC$1</f>
        <v>1314059.5290000001</v>
      </c>
      <c r="DE3" s="544" t="s">
        <v>459</v>
      </c>
      <c r="DF3" s="545">
        <v>19013020000</v>
      </c>
      <c r="DG3" s="545">
        <v>12326276897</v>
      </c>
      <c r="DH3" s="545">
        <v>12326276897</v>
      </c>
      <c r="DI3" s="545">
        <v>6686743103</v>
      </c>
      <c r="DJ3" s="546">
        <f>+DF3/$DL$1*$DM$1</f>
        <v>19013020</v>
      </c>
      <c r="DK3" s="546">
        <f t="shared" ref="DK3:DM3" si="6">+DG3/$DL$1*$DM$1</f>
        <v>12326276.897</v>
      </c>
      <c r="DL3" s="546">
        <f t="shared" si="6"/>
        <v>12326276.897</v>
      </c>
      <c r="DM3" s="546">
        <f t="shared" si="6"/>
        <v>6686743.1030000001</v>
      </c>
      <c r="DP3" s="544" t="s">
        <v>459</v>
      </c>
      <c r="DQ3" s="545">
        <v>2273246202</v>
      </c>
      <c r="DR3" s="546">
        <f>+DQ3/$DQ$1*$DR$1</f>
        <v>2273246.202</v>
      </c>
      <c r="DT3" s="544" t="s">
        <v>459</v>
      </c>
      <c r="DU3" s="545">
        <v>19013020000</v>
      </c>
      <c r="DV3" s="545">
        <v>14599523099</v>
      </c>
      <c r="DW3" s="545">
        <v>14599523099</v>
      </c>
      <c r="DX3" s="545">
        <v>4413496901</v>
      </c>
      <c r="DY3" s="546">
        <f>+DU3/$EA$1*$EB$1</f>
        <v>19013020</v>
      </c>
      <c r="DZ3" s="546">
        <f t="shared" ref="DZ3:EB3" si="7">+DV3/$EA$1*$EB$1</f>
        <v>14599523.098999999</v>
      </c>
      <c r="EA3" s="546">
        <f t="shared" si="7"/>
        <v>14599523.098999999</v>
      </c>
      <c r="EB3" s="546">
        <f t="shared" si="7"/>
        <v>4413496.9009999996</v>
      </c>
      <c r="EE3" s="547" t="s">
        <v>459</v>
      </c>
      <c r="EF3" s="546">
        <v>1298474094</v>
      </c>
      <c r="EG3" s="548">
        <f>EF3/$EF$1*$EG$1</f>
        <v>1298474.094</v>
      </c>
      <c r="EI3" s="547" t="s">
        <v>459</v>
      </c>
      <c r="EJ3" s="546">
        <v>19013020000</v>
      </c>
      <c r="EK3" s="546">
        <v>15897997193</v>
      </c>
      <c r="EL3" s="546">
        <v>15897997193</v>
      </c>
      <c r="EM3" s="548">
        <f>EJ3/$EN$1*$EO$1</f>
        <v>19013020</v>
      </c>
      <c r="EN3" s="548">
        <f>EK3/$EN$1*$EO$1</f>
        <v>15897997.193</v>
      </c>
      <c r="EO3" s="548">
        <f>EL3/$EN$1*$EO$1</f>
        <v>15897997.193</v>
      </c>
      <c r="ER3" s="544" t="s">
        <v>459</v>
      </c>
      <c r="ES3" s="545">
        <v>1304211056</v>
      </c>
      <c r="ET3" s="546">
        <f>+ES3/$ET$1*$EU$1</f>
        <v>1304211.0560000001</v>
      </c>
      <c r="EW3" s="544" t="s">
        <v>459</v>
      </c>
      <c r="EX3" s="545">
        <v>19013020000</v>
      </c>
      <c r="EY3" s="545">
        <v>19013020000</v>
      </c>
      <c r="EZ3" s="545">
        <v>17202208249</v>
      </c>
      <c r="FA3" s="545">
        <v>17202208249</v>
      </c>
      <c r="FB3" s="545">
        <v>1810811751</v>
      </c>
      <c r="FC3" s="546">
        <f>+EX3/$FF$1*$FG$1</f>
        <v>19013020</v>
      </c>
      <c r="FD3" s="546">
        <f t="shared" ref="FD3:FF3" si="8">+EY3/$FF$1*$FG$1</f>
        <v>19013020</v>
      </c>
      <c r="FE3" s="546">
        <f t="shared" si="8"/>
        <v>17202208.249000002</v>
      </c>
      <c r="FF3" s="546">
        <f t="shared" si="8"/>
        <v>17202208.249000002</v>
      </c>
      <c r="FG3" s="546">
        <f>+FB3/$FF$1*$FG$1</f>
        <v>1810811.7509999999</v>
      </c>
      <c r="FJ3" s="547" t="s">
        <v>459</v>
      </c>
      <c r="FK3" s="546">
        <v>2384792100</v>
      </c>
      <c r="FL3" s="548">
        <f>+FK3/$FK$1*$FL$1</f>
        <v>2384792.1</v>
      </c>
      <c r="FN3" s="549" t="s">
        <v>459</v>
      </c>
      <c r="FO3" s="550">
        <v>20131855000</v>
      </c>
      <c r="FP3" s="550">
        <v>19587000349</v>
      </c>
      <c r="FQ3" s="550">
        <v>19587000349</v>
      </c>
      <c r="FR3" s="550">
        <f>+FO3/$FR$1*$FS$1</f>
        <v>20131855</v>
      </c>
      <c r="FS3" s="550">
        <f t="shared" ref="FS3:FT3" si="9">+FP3/$FR$1*$FS$1</f>
        <v>19587000.348999999</v>
      </c>
      <c r="FT3" s="550">
        <f t="shared" si="9"/>
        <v>19587000.348999999</v>
      </c>
    </row>
    <row r="4" spans="1:176" ht="15" customHeight="1" x14ac:dyDescent="0.25">
      <c r="A4" s="890" t="s">
        <v>888</v>
      </c>
      <c r="B4" s="544" t="s">
        <v>458</v>
      </c>
      <c r="C4" s="545">
        <v>0</v>
      </c>
      <c r="D4" s="545">
        <v>980243500</v>
      </c>
      <c r="E4" s="545">
        <v>61946520</v>
      </c>
      <c r="F4" s="545">
        <v>918296980</v>
      </c>
      <c r="G4" s="545">
        <v>61946520</v>
      </c>
      <c r="H4" s="546">
        <f t="shared" ref="H4:H67" si="10">+D4/$I$1*$J$1</f>
        <v>1021413.7270000001</v>
      </c>
      <c r="I4" s="546">
        <f t="shared" ref="I4:I67" si="11">+E4/$I$1*$J$1</f>
        <v>64548.273840000002</v>
      </c>
      <c r="J4" s="546">
        <f t="shared" ref="J4:J67" si="12">+F4/$I$1*$J$1</f>
        <v>956865.45316000003</v>
      </c>
      <c r="K4" s="546">
        <f t="shared" ref="K4:K67" si="13">+G4/$I$1*$J$1</f>
        <v>64548.273840000002</v>
      </c>
      <c r="O4" s="544" t="s">
        <v>458</v>
      </c>
      <c r="P4" s="545">
        <v>60628006</v>
      </c>
      <c r="Q4" s="546">
        <f t="shared" ref="Q4:Q67" si="14">+P4/$P$1*$Q$1</f>
        <v>63174.382252000003</v>
      </c>
      <c r="S4" s="544" t="s">
        <v>458</v>
      </c>
      <c r="T4" s="545">
        <v>982743500</v>
      </c>
      <c r="U4" s="545">
        <v>122574526</v>
      </c>
      <c r="V4" s="545">
        <v>122574526</v>
      </c>
      <c r="W4" s="545">
        <v>860168974</v>
      </c>
      <c r="X4" s="546">
        <f t="shared" ref="X4:X67" si="15">+T4/$Z$1*$AA$1</f>
        <v>1024018.7270000001</v>
      </c>
      <c r="Y4" s="546">
        <f t="shared" ref="Y4:Y67" si="16">+U4/$Z$1*$AA$1</f>
        <v>127722.656092</v>
      </c>
      <c r="Z4" s="546">
        <f t="shared" ref="Z4:Z67" si="17">+V4/$Z$1*$AA$1</f>
        <v>127722.656092</v>
      </c>
      <c r="AA4" s="546">
        <f t="shared" ref="AA4:AA67" si="18">+W4/$Z$1*$AA$1</f>
        <v>896296.07090800011</v>
      </c>
      <c r="AC4" s="544" t="s">
        <v>458</v>
      </c>
      <c r="AD4" s="545">
        <v>95449534</v>
      </c>
      <c r="AE4" s="546">
        <f t="shared" ref="AE4:AE67" si="19">+AD4/$AD$1*$AE$1</f>
        <v>95449.534</v>
      </c>
      <c r="AG4" s="544" t="s">
        <v>458</v>
      </c>
      <c r="AH4" s="545">
        <v>982743500</v>
      </c>
      <c r="AI4" s="545">
        <v>218024060</v>
      </c>
      <c r="AJ4" s="545">
        <v>218024060</v>
      </c>
      <c r="AK4" s="545">
        <v>764719440</v>
      </c>
      <c r="AL4" s="545">
        <f t="shared" ref="AL4:AL67" si="20">+AH4/$AN$1*$AO$1</f>
        <v>982743.5</v>
      </c>
      <c r="AM4" s="545">
        <f t="shared" ref="AM4:AM67" si="21">+AI4/$AN$1*$AO$1</f>
        <v>218024.06</v>
      </c>
      <c r="AN4" s="545">
        <f t="shared" ref="AN4:AN67" si="22">+AJ4/$AN$1*$AO$1</f>
        <v>218024.06</v>
      </c>
      <c r="AO4" s="545">
        <f t="shared" ref="AO4:AO67" si="23">+AK4/$AN$1*$AO$1</f>
        <v>764719.44</v>
      </c>
      <c r="AR4" s="544" t="s">
        <v>458</v>
      </c>
      <c r="AS4" s="545">
        <v>60448628</v>
      </c>
      <c r="AT4" s="545">
        <f t="shared" ref="AT4:AT67" si="24">+AS4/$AS$1*$AT$1</f>
        <v>60448.627999999997</v>
      </c>
      <c r="AV4" s="544" t="s">
        <v>458</v>
      </c>
      <c r="AW4" s="545">
        <v>982943500</v>
      </c>
      <c r="AX4" s="545">
        <v>278472688</v>
      </c>
      <c r="AY4" s="545">
        <v>278472688</v>
      </c>
      <c r="AZ4" s="545">
        <v>704470812</v>
      </c>
      <c r="BA4" s="546">
        <f t="shared" ref="BA4:BA67" si="25">+AW4/$BC$1*$BD$1</f>
        <v>982943.5</v>
      </c>
      <c r="BB4" s="546">
        <f t="shared" ref="BB4:BB67" si="26">+AX4/$BC$1*$BD$1</f>
        <v>278472.68800000002</v>
      </c>
      <c r="BC4" s="546">
        <f t="shared" ref="BC4:BC67" si="27">+AY4/$BC$1*$BD$1</f>
        <v>278472.68800000002</v>
      </c>
      <c r="BD4" s="546">
        <f t="shared" ref="BD4:BD67" si="28">+AZ4/$BC$1*$BD$1</f>
        <v>704470.81200000003</v>
      </c>
      <c r="BG4" s="544" t="s">
        <v>458</v>
      </c>
      <c r="BH4" s="545">
        <v>56809208</v>
      </c>
      <c r="BI4" s="545">
        <f t="shared" ref="BI4:BI67" si="29">+BH4/$BR$1*$BS$1</f>
        <v>56809.207999999999</v>
      </c>
      <c r="BK4" s="544" t="s">
        <v>458</v>
      </c>
      <c r="BL4" s="545">
        <v>982243500</v>
      </c>
      <c r="BM4" s="545">
        <v>335281896</v>
      </c>
      <c r="BN4" s="545">
        <v>335281896</v>
      </c>
      <c r="BO4" s="545">
        <v>646961604</v>
      </c>
      <c r="BP4" s="545">
        <f t="shared" ref="BP4:BP67" si="30">+BL4/$BR$1*$BS$1</f>
        <v>982243.5</v>
      </c>
      <c r="BQ4" s="545">
        <f t="shared" ref="BQ4:BQ67" si="31">+BM4/$BR$1*$BS$1</f>
        <v>335281.89600000001</v>
      </c>
      <c r="BR4" s="545">
        <f t="shared" ref="BR4:BR67" si="32">+BN4/$BR$1*$BS$1</f>
        <v>335281.89600000001</v>
      </c>
      <c r="BS4" s="545">
        <f t="shared" ref="BS4:BS67" si="33">+BO4/$BR$1*$BS$1</f>
        <v>646961.60400000005</v>
      </c>
      <c r="BV4" s="544" t="s">
        <v>458</v>
      </c>
      <c r="BW4" s="545">
        <v>91423101</v>
      </c>
      <c r="BX4" s="546">
        <f t="shared" ref="BX4:BX67" si="34">+BW4/$BW$1*$BX$1</f>
        <v>91423.100999999995</v>
      </c>
      <c r="BZ4" s="544" t="s">
        <v>458</v>
      </c>
      <c r="CA4" s="545">
        <v>982127278</v>
      </c>
      <c r="CB4" s="545">
        <v>426704997</v>
      </c>
      <c r="CC4" s="545">
        <v>426704997</v>
      </c>
      <c r="CD4" s="545">
        <v>555422281</v>
      </c>
      <c r="CE4" s="545">
        <f t="shared" ref="CE4:CE67" si="35">+CA4/$CG$1*$CH$1</f>
        <v>982127.27800000005</v>
      </c>
      <c r="CF4" s="545">
        <f t="shared" ref="CF4:CF67" si="36">+CB4/$CG$1*$CH$1</f>
        <v>426704.99699999997</v>
      </c>
      <c r="CG4" s="545">
        <f t="shared" ref="CG4:CG67" si="37">+CC4/$CG$1*$CH$1</f>
        <v>426704.99699999997</v>
      </c>
      <c r="CH4" s="545">
        <f t="shared" ref="CH4:CH67" si="38">+CD4/$CG$1*$CH$1</f>
        <v>555422.28099999996</v>
      </c>
      <c r="CK4" s="547" t="s">
        <v>458</v>
      </c>
      <c r="CL4" s="546">
        <v>52293329</v>
      </c>
      <c r="CM4" s="546">
        <f t="shared" ref="CM4:CM67" si="39">+CL4/$CM$1*$CN$1</f>
        <v>52293.328999999998</v>
      </c>
      <c r="CP4" s="547" t="s">
        <v>458</v>
      </c>
      <c r="CQ4" s="546">
        <v>982558012</v>
      </c>
      <c r="CR4" s="546">
        <v>478998326</v>
      </c>
      <c r="CS4" s="546">
        <v>478998326</v>
      </c>
      <c r="CT4" s="546">
        <v>503559686</v>
      </c>
      <c r="CU4" s="546">
        <f t="shared" si="2"/>
        <v>982558.01199999999</v>
      </c>
      <c r="CV4" s="546">
        <f t="shared" si="3"/>
        <v>478998.326</v>
      </c>
      <c r="CW4" s="546">
        <f t="shared" si="4"/>
        <v>478998.326</v>
      </c>
      <c r="CX4" s="546">
        <f t="shared" si="5"/>
        <v>503559.68599999999</v>
      </c>
      <c r="CZ4" s="547" t="s">
        <v>458</v>
      </c>
      <c r="DA4" s="546">
        <v>52533410</v>
      </c>
      <c r="DB4" s="546">
        <f t="shared" ref="DB4:DB67" si="40">+DA4/$DB$1*$DC$1</f>
        <v>52533.41</v>
      </c>
      <c r="DE4" s="544" t="s">
        <v>458</v>
      </c>
      <c r="DF4" s="545">
        <v>983674012</v>
      </c>
      <c r="DG4" s="545">
        <v>531531736</v>
      </c>
      <c r="DH4" s="545">
        <v>531531736</v>
      </c>
      <c r="DI4" s="545">
        <v>452142276</v>
      </c>
      <c r="DJ4" s="546">
        <f t="shared" ref="DJ4:DJ67" si="41">+DF4/$DL$1*$DM$1</f>
        <v>983674.01199999999</v>
      </c>
      <c r="DK4" s="546">
        <f t="shared" ref="DK4:DK67" si="42">+DG4/$DL$1*$DM$1</f>
        <v>531531.73600000003</v>
      </c>
      <c r="DL4" s="546">
        <f t="shared" ref="DL4:DL67" si="43">+DH4/$DL$1*$DM$1</f>
        <v>531531.73600000003</v>
      </c>
      <c r="DM4" s="546">
        <f t="shared" ref="DM4:DM67" si="44">+DI4/$DL$1*$DM$1</f>
        <v>452142.27600000001</v>
      </c>
      <c r="DP4" s="544" t="s">
        <v>458</v>
      </c>
      <c r="DQ4" s="545">
        <v>82497582</v>
      </c>
      <c r="DR4" s="546">
        <f t="shared" ref="DR4:DR67" si="45">+DQ4/$DQ$1*$DR$1</f>
        <v>82497.581999999995</v>
      </c>
      <c r="DT4" s="544" t="s">
        <v>458</v>
      </c>
      <c r="DU4" s="545">
        <v>984293012</v>
      </c>
      <c r="DV4" s="545">
        <v>614029318</v>
      </c>
      <c r="DW4" s="545">
        <v>614029318</v>
      </c>
      <c r="DX4" s="545">
        <v>370263694</v>
      </c>
      <c r="DY4" s="546">
        <f t="shared" ref="DY4:DY67" si="46">+DU4/$EA$1*$EB$1</f>
        <v>984293.01199999999</v>
      </c>
      <c r="DZ4" s="546">
        <f t="shared" ref="DZ4:DZ67" si="47">+DV4/$EA$1*$EB$1</f>
        <v>614029.31799999997</v>
      </c>
      <c r="EA4" s="546">
        <f t="shared" ref="EA4:EA67" si="48">+DW4/$EA$1*$EB$1</f>
        <v>614029.31799999997</v>
      </c>
      <c r="EB4" s="546">
        <f t="shared" ref="EB4:EB67" si="49">+DX4/$EA$1*$EB$1</f>
        <v>370263.69400000002</v>
      </c>
      <c r="EE4" s="547" t="s">
        <v>458</v>
      </c>
      <c r="EF4" s="546">
        <v>52885635</v>
      </c>
      <c r="EG4" s="548">
        <f t="shared" ref="EG4:EG67" si="50">EF4/$EF$1*$EG$1</f>
        <v>52885.635000000002</v>
      </c>
      <c r="EI4" s="547" t="s">
        <v>458</v>
      </c>
      <c r="EJ4" s="546">
        <v>985350047</v>
      </c>
      <c r="EK4" s="546">
        <v>666914953</v>
      </c>
      <c r="EL4" s="546">
        <v>666914953</v>
      </c>
      <c r="EM4" s="548">
        <f t="shared" ref="EM4:EM67" si="51">EJ4/$EN$1*$EO$1</f>
        <v>985350.04700000002</v>
      </c>
      <c r="EN4" s="548">
        <f t="shared" ref="EN4:EN67" si="52">EK4/$EN$1*$EO$1</f>
        <v>666914.95299999998</v>
      </c>
      <c r="EO4" s="548">
        <f t="shared" ref="EO4:EO67" si="53">EL4/$EN$1*$EO$1</f>
        <v>666914.95299999998</v>
      </c>
      <c r="ER4" s="544" t="s">
        <v>458</v>
      </c>
      <c r="ES4" s="545">
        <v>52342317</v>
      </c>
      <c r="ET4" s="546">
        <f t="shared" ref="ET4:ET67" si="54">+ES4/$ET$1*$EU$1</f>
        <v>52342.317000000003</v>
      </c>
      <c r="EW4" s="544" t="s">
        <v>458</v>
      </c>
      <c r="EX4" s="545">
        <v>0</v>
      </c>
      <c r="EY4" s="545">
        <v>985350047</v>
      </c>
      <c r="EZ4" s="545">
        <v>719257270</v>
      </c>
      <c r="FA4" s="545">
        <v>719257270</v>
      </c>
      <c r="FB4" s="545">
        <v>266092777</v>
      </c>
      <c r="FC4" s="546">
        <f t="shared" ref="FC4:FC67" si="55">+EX4/$FF$1*$FG$1</f>
        <v>0</v>
      </c>
      <c r="FD4" s="546">
        <f t="shared" ref="FD4:FD67" si="56">+EY4/$FF$1*$FG$1</f>
        <v>985350.04700000002</v>
      </c>
      <c r="FE4" s="546">
        <f t="shared" ref="FE4:FE67" si="57">+EZ4/$FF$1*$FG$1</f>
        <v>719257.27</v>
      </c>
      <c r="FF4" s="546">
        <f t="shared" ref="FF4:FF67" si="58">+FA4/$FF$1*$FG$1</f>
        <v>719257.27</v>
      </c>
      <c r="FG4" s="546">
        <f t="shared" ref="FG4:FG67" si="59">+FB4/$FF$1*$FG$1</f>
        <v>266092.777</v>
      </c>
      <c r="FJ4" s="547" t="s">
        <v>458</v>
      </c>
      <c r="FK4" s="546">
        <v>84096785</v>
      </c>
      <c r="FL4" s="548">
        <f t="shared" ref="FL4:FL67" si="60">+FK4/$FK$1*$FL$1</f>
        <v>84096.785000000003</v>
      </c>
      <c r="FN4" s="549" t="s">
        <v>458</v>
      </c>
      <c r="FO4" s="550">
        <v>886446180</v>
      </c>
      <c r="FP4" s="550">
        <v>803354055</v>
      </c>
      <c r="FQ4" s="550">
        <v>803354055</v>
      </c>
      <c r="FR4" s="550">
        <f t="shared" ref="FR4:FR67" si="61">+FO4/$FR$1*$FS$1</f>
        <v>886446.18</v>
      </c>
      <c r="FS4" s="550">
        <f t="shared" ref="FS4:FS67" si="62">+FP4/$FR$1*$FS$1</f>
        <v>803354.05500000005</v>
      </c>
      <c r="FT4" s="550">
        <f t="shared" ref="FT4:FT67" si="63">+FQ4/$FR$1*$FS$1</f>
        <v>803354.05500000005</v>
      </c>
    </row>
    <row r="5" spans="1:176" ht="15" customHeight="1" x14ac:dyDescent="0.25">
      <c r="A5" s="890" t="s">
        <v>889</v>
      </c>
      <c r="B5" s="544" t="s">
        <v>457</v>
      </c>
      <c r="C5" s="545">
        <v>0</v>
      </c>
      <c r="D5" s="545">
        <v>689990000</v>
      </c>
      <c r="E5" s="545">
        <v>50675289</v>
      </c>
      <c r="F5" s="545">
        <v>639314711</v>
      </c>
      <c r="G5" s="545">
        <v>50675289</v>
      </c>
      <c r="H5" s="546">
        <f t="shared" si="10"/>
        <v>718969.58000000007</v>
      </c>
      <c r="I5" s="546">
        <f t="shared" si="11"/>
        <v>52803.651138000001</v>
      </c>
      <c r="J5" s="546">
        <f t="shared" si="12"/>
        <v>666165.928862</v>
      </c>
      <c r="K5" s="546">
        <f t="shared" si="13"/>
        <v>52803.651138000001</v>
      </c>
      <c r="O5" s="544" t="s">
        <v>457</v>
      </c>
      <c r="P5" s="545">
        <v>50639978</v>
      </c>
      <c r="Q5" s="546">
        <f t="shared" si="14"/>
        <v>52766.857076000008</v>
      </c>
      <c r="S5" s="544" t="s">
        <v>457</v>
      </c>
      <c r="T5" s="545">
        <v>689990000</v>
      </c>
      <c r="U5" s="545">
        <v>101315267</v>
      </c>
      <c r="V5" s="545">
        <v>101315267</v>
      </c>
      <c r="W5" s="545">
        <v>588674733</v>
      </c>
      <c r="X5" s="546">
        <f t="shared" si="15"/>
        <v>718969.58000000007</v>
      </c>
      <c r="Y5" s="546">
        <f t="shared" si="16"/>
        <v>105570.50821400002</v>
      </c>
      <c r="Z5" s="546">
        <f t="shared" si="17"/>
        <v>105570.50821400002</v>
      </c>
      <c r="AA5" s="546">
        <f t="shared" si="18"/>
        <v>613399.07178600004</v>
      </c>
      <c r="AC5" s="544" t="s">
        <v>457</v>
      </c>
      <c r="AD5" s="545">
        <v>70344421</v>
      </c>
      <c r="AE5" s="546">
        <f t="shared" si="19"/>
        <v>70344.421000000002</v>
      </c>
      <c r="AG5" s="544" t="s">
        <v>457</v>
      </c>
      <c r="AH5" s="545">
        <v>689990000</v>
      </c>
      <c r="AI5" s="545">
        <v>171659688</v>
      </c>
      <c r="AJ5" s="545">
        <v>171659688</v>
      </c>
      <c r="AK5" s="545">
        <v>518330312</v>
      </c>
      <c r="AL5" s="545">
        <f t="shared" si="20"/>
        <v>689990</v>
      </c>
      <c r="AM5" s="545">
        <f t="shared" si="21"/>
        <v>171659.68799999999</v>
      </c>
      <c r="AN5" s="545">
        <f t="shared" si="22"/>
        <v>171659.68799999999</v>
      </c>
      <c r="AO5" s="545">
        <f t="shared" si="23"/>
        <v>518330.31199999998</v>
      </c>
      <c r="AR5" s="544" t="s">
        <v>457</v>
      </c>
      <c r="AS5" s="545">
        <v>50704452</v>
      </c>
      <c r="AT5" s="545">
        <f t="shared" si="24"/>
        <v>50704.451999999997</v>
      </c>
      <c r="AV5" s="544" t="s">
        <v>457</v>
      </c>
      <c r="AW5" s="545">
        <v>689990000</v>
      </c>
      <c r="AX5" s="545">
        <v>222364140</v>
      </c>
      <c r="AY5" s="545">
        <v>222364140</v>
      </c>
      <c r="AZ5" s="545">
        <v>467625860</v>
      </c>
      <c r="BA5" s="546">
        <f t="shared" si="25"/>
        <v>689990</v>
      </c>
      <c r="BB5" s="546">
        <f t="shared" si="26"/>
        <v>222364.14</v>
      </c>
      <c r="BC5" s="546">
        <f t="shared" si="27"/>
        <v>222364.14</v>
      </c>
      <c r="BD5" s="546">
        <f t="shared" si="28"/>
        <v>467625.86</v>
      </c>
      <c r="BG5" s="544" t="s">
        <v>457</v>
      </c>
      <c r="BH5" s="545">
        <v>47218468</v>
      </c>
      <c r="BI5" s="545">
        <f t="shared" si="29"/>
        <v>47218.468000000001</v>
      </c>
      <c r="BK5" s="544" t="s">
        <v>457</v>
      </c>
      <c r="BL5" s="545">
        <v>689990000</v>
      </c>
      <c r="BM5" s="545">
        <v>269582608</v>
      </c>
      <c r="BN5" s="545">
        <v>269582608</v>
      </c>
      <c r="BO5" s="545">
        <v>420407392</v>
      </c>
      <c r="BP5" s="545">
        <f t="shared" si="30"/>
        <v>689990</v>
      </c>
      <c r="BQ5" s="545">
        <f t="shared" si="31"/>
        <v>269582.60800000001</v>
      </c>
      <c r="BR5" s="545">
        <f t="shared" si="32"/>
        <v>269582.60800000001</v>
      </c>
      <c r="BS5" s="545">
        <f t="shared" si="33"/>
        <v>420407.39199999999</v>
      </c>
      <c r="BV5" s="544" t="s">
        <v>457</v>
      </c>
      <c r="BW5" s="545">
        <v>66374207</v>
      </c>
      <c r="BX5" s="546">
        <f t="shared" si="34"/>
        <v>66374.206999999995</v>
      </c>
      <c r="BZ5" s="544" t="s">
        <v>457</v>
      </c>
      <c r="CA5" s="545">
        <v>689990000</v>
      </c>
      <c r="CB5" s="545">
        <v>335956815</v>
      </c>
      <c r="CC5" s="545">
        <v>335956815</v>
      </c>
      <c r="CD5" s="545">
        <v>354033185</v>
      </c>
      <c r="CE5" s="545">
        <f t="shared" si="35"/>
        <v>689990</v>
      </c>
      <c r="CF5" s="545">
        <f t="shared" si="36"/>
        <v>335956.815</v>
      </c>
      <c r="CG5" s="545">
        <f t="shared" si="37"/>
        <v>335956.815</v>
      </c>
      <c r="CH5" s="545">
        <f t="shared" si="38"/>
        <v>354033.185</v>
      </c>
      <c r="CK5" s="547" t="s">
        <v>457</v>
      </c>
      <c r="CL5" s="546">
        <v>42983643</v>
      </c>
      <c r="CM5" s="546">
        <f t="shared" si="39"/>
        <v>42983.642999999996</v>
      </c>
      <c r="CP5" s="547" t="s">
        <v>457</v>
      </c>
      <c r="CQ5" s="546">
        <v>689990000</v>
      </c>
      <c r="CR5" s="546">
        <v>378940458</v>
      </c>
      <c r="CS5" s="546">
        <v>378940458</v>
      </c>
      <c r="CT5" s="546">
        <v>311049542</v>
      </c>
      <c r="CU5" s="546">
        <f t="shared" si="2"/>
        <v>689990</v>
      </c>
      <c r="CV5" s="546">
        <f t="shared" si="3"/>
        <v>378940.45799999998</v>
      </c>
      <c r="CW5" s="546">
        <f t="shared" si="4"/>
        <v>378940.45799999998</v>
      </c>
      <c r="CX5" s="546">
        <f t="shared" si="5"/>
        <v>311049.54200000002</v>
      </c>
      <c r="CZ5" s="547" t="s">
        <v>457</v>
      </c>
      <c r="DA5" s="546">
        <v>42937440</v>
      </c>
      <c r="DB5" s="546">
        <f t="shared" si="40"/>
        <v>42937.440000000002</v>
      </c>
      <c r="DE5" s="544" t="s">
        <v>457</v>
      </c>
      <c r="DF5" s="545">
        <v>689990000</v>
      </c>
      <c r="DG5" s="545">
        <v>421877898</v>
      </c>
      <c r="DH5" s="545">
        <v>421877898</v>
      </c>
      <c r="DI5" s="545">
        <v>268112102</v>
      </c>
      <c r="DJ5" s="546">
        <f t="shared" si="41"/>
        <v>689990</v>
      </c>
      <c r="DK5" s="546">
        <f t="shared" si="42"/>
        <v>421877.89799999999</v>
      </c>
      <c r="DL5" s="546">
        <f t="shared" si="43"/>
        <v>421877.89799999999</v>
      </c>
      <c r="DM5" s="546">
        <f t="shared" si="44"/>
        <v>268112.10200000001</v>
      </c>
      <c r="DP5" s="544" t="s">
        <v>457</v>
      </c>
      <c r="DQ5" s="545">
        <v>59826603</v>
      </c>
      <c r="DR5" s="546">
        <f t="shared" si="45"/>
        <v>59826.603000000003</v>
      </c>
      <c r="DT5" s="544" t="s">
        <v>457</v>
      </c>
      <c r="DU5" s="545">
        <v>689990000</v>
      </c>
      <c r="DV5" s="545">
        <v>481704501</v>
      </c>
      <c r="DW5" s="545">
        <v>481704501</v>
      </c>
      <c r="DX5" s="545">
        <v>208285499</v>
      </c>
      <c r="DY5" s="546">
        <f t="shared" si="46"/>
        <v>689990</v>
      </c>
      <c r="DZ5" s="546">
        <f t="shared" si="47"/>
        <v>481704.50099999999</v>
      </c>
      <c r="EA5" s="546">
        <f t="shared" si="48"/>
        <v>481704.50099999999</v>
      </c>
      <c r="EB5" s="546">
        <f t="shared" si="49"/>
        <v>208285.49900000001</v>
      </c>
      <c r="EE5" s="547" t="s">
        <v>457</v>
      </c>
      <c r="EF5" s="546">
        <v>43180753</v>
      </c>
      <c r="EG5" s="548">
        <f t="shared" si="50"/>
        <v>43180.752999999997</v>
      </c>
      <c r="EI5" s="547" t="s">
        <v>457</v>
      </c>
      <c r="EJ5" s="546">
        <v>690153035</v>
      </c>
      <c r="EK5" s="546">
        <v>524885254</v>
      </c>
      <c r="EL5" s="546">
        <v>524885254</v>
      </c>
      <c r="EM5" s="548">
        <f t="shared" si="51"/>
        <v>690153.03500000003</v>
      </c>
      <c r="EN5" s="548">
        <f t="shared" si="52"/>
        <v>524885.25399999996</v>
      </c>
      <c r="EO5" s="548">
        <f t="shared" si="53"/>
        <v>524885.25399999996</v>
      </c>
      <c r="ER5" s="544" t="s">
        <v>457</v>
      </c>
      <c r="ES5" s="545">
        <v>43020819</v>
      </c>
      <c r="ET5" s="546">
        <f t="shared" si="54"/>
        <v>43020.819000000003</v>
      </c>
      <c r="EW5" s="544" t="s">
        <v>457</v>
      </c>
      <c r="EX5" s="545">
        <v>0</v>
      </c>
      <c r="EY5" s="545">
        <v>690153035</v>
      </c>
      <c r="EZ5" s="545">
        <v>567906073</v>
      </c>
      <c r="FA5" s="545">
        <v>567906073</v>
      </c>
      <c r="FB5" s="545">
        <v>122246962</v>
      </c>
      <c r="FC5" s="546">
        <f t="shared" si="55"/>
        <v>0</v>
      </c>
      <c r="FD5" s="546">
        <f t="shared" si="56"/>
        <v>690153.03500000003</v>
      </c>
      <c r="FE5" s="546">
        <f t="shared" si="57"/>
        <v>567906.07299999997</v>
      </c>
      <c r="FF5" s="546">
        <f t="shared" si="58"/>
        <v>567906.07299999997</v>
      </c>
      <c r="FG5" s="546">
        <f t="shared" si="59"/>
        <v>122246.962</v>
      </c>
      <c r="FJ5" s="547" t="s">
        <v>457</v>
      </c>
      <c r="FK5" s="546">
        <v>61068572</v>
      </c>
      <c r="FL5" s="548">
        <f t="shared" si="60"/>
        <v>61068.572</v>
      </c>
      <c r="FN5" s="549" t="s">
        <v>457</v>
      </c>
      <c r="FO5" s="550">
        <v>628990025</v>
      </c>
      <c r="FP5" s="550">
        <v>628974645</v>
      </c>
      <c r="FQ5" s="550">
        <v>628974645</v>
      </c>
      <c r="FR5" s="550">
        <f t="shared" si="61"/>
        <v>628990.02500000002</v>
      </c>
      <c r="FS5" s="550">
        <f t="shared" si="62"/>
        <v>628974.64500000002</v>
      </c>
      <c r="FT5" s="550">
        <f t="shared" si="63"/>
        <v>628974.64500000002</v>
      </c>
    </row>
    <row r="6" spans="1:176" ht="15" customHeight="1" x14ac:dyDescent="0.25">
      <c r="A6" s="890" t="s">
        <v>890</v>
      </c>
      <c r="B6" s="544" t="s">
        <v>456</v>
      </c>
      <c r="C6" s="545">
        <v>0</v>
      </c>
      <c r="D6" s="545">
        <v>154140000</v>
      </c>
      <c r="E6" s="545">
        <v>10765321</v>
      </c>
      <c r="F6" s="545">
        <v>143374679</v>
      </c>
      <c r="G6" s="545">
        <v>10765321</v>
      </c>
      <c r="H6" s="546">
        <f t="shared" si="10"/>
        <v>160613.88</v>
      </c>
      <c r="I6" s="546">
        <f t="shared" si="11"/>
        <v>11217.464481999999</v>
      </c>
      <c r="J6" s="546">
        <f t="shared" si="12"/>
        <v>149396.41551800002</v>
      </c>
      <c r="K6" s="546">
        <f t="shared" si="13"/>
        <v>11217.464481999999</v>
      </c>
      <c r="O6" s="544" t="s">
        <v>456</v>
      </c>
      <c r="P6" s="545">
        <v>10765321</v>
      </c>
      <c r="Q6" s="546">
        <f t="shared" si="14"/>
        <v>11217.464481999999</v>
      </c>
      <c r="S6" s="544" t="s">
        <v>456</v>
      </c>
      <c r="T6" s="545">
        <v>154140000</v>
      </c>
      <c r="U6" s="545">
        <v>21530642</v>
      </c>
      <c r="V6" s="545">
        <v>21530642</v>
      </c>
      <c r="W6" s="545">
        <v>132609358</v>
      </c>
      <c r="X6" s="546">
        <f t="shared" si="15"/>
        <v>160613.88</v>
      </c>
      <c r="Y6" s="546">
        <f t="shared" si="16"/>
        <v>22434.928963999999</v>
      </c>
      <c r="Z6" s="546">
        <f t="shared" si="17"/>
        <v>22434.928963999999</v>
      </c>
      <c r="AA6" s="546">
        <f t="shared" si="18"/>
        <v>138178.95103600001</v>
      </c>
      <c r="AC6" s="544" t="s">
        <v>456</v>
      </c>
      <c r="AD6" s="545">
        <v>10750431</v>
      </c>
      <c r="AE6" s="546">
        <f t="shared" si="19"/>
        <v>10750.431</v>
      </c>
      <c r="AG6" s="544" t="s">
        <v>456</v>
      </c>
      <c r="AH6" s="545">
        <v>154140000</v>
      </c>
      <c r="AI6" s="545">
        <v>32281073</v>
      </c>
      <c r="AJ6" s="545">
        <v>32281073</v>
      </c>
      <c r="AK6" s="545">
        <v>121858927</v>
      </c>
      <c r="AL6" s="545">
        <f t="shared" si="20"/>
        <v>154140</v>
      </c>
      <c r="AM6" s="545">
        <f t="shared" si="21"/>
        <v>32281.073</v>
      </c>
      <c r="AN6" s="545">
        <f t="shared" si="22"/>
        <v>32281.073</v>
      </c>
      <c r="AO6" s="545">
        <f t="shared" si="23"/>
        <v>121858.927</v>
      </c>
      <c r="AR6" s="544" t="s">
        <v>456</v>
      </c>
      <c r="AS6" s="545">
        <v>10765321</v>
      </c>
      <c r="AT6" s="545">
        <f t="shared" si="24"/>
        <v>10765.321</v>
      </c>
      <c r="AV6" s="544" t="s">
        <v>456</v>
      </c>
      <c r="AW6" s="545">
        <v>154140000</v>
      </c>
      <c r="AX6" s="545">
        <v>43046394</v>
      </c>
      <c r="AY6" s="545">
        <v>43046394</v>
      </c>
      <c r="AZ6" s="545">
        <v>111093606</v>
      </c>
      <c r="BA6" s="546">
        <f t="shared" si="25"/>
        <v>154140</v>
      </c>
      <c r="BB6" s="546">
        <f t="shared" si="26"/>
        <v>43046.394</v>
      </c>
      <c r="BC6" s="546">
        <f t="shared" si="27"/>
        <v>43046.394</v>
      </c>
      <c r="BD6" s="546">
        <f t="shared" si="28"/>
        <v>111093.606</v>
      </c>
      <c r="BG6" s="544" t="s">
        <v>456</v>
      </c>
      <c r="BH6" s="545">
        <v>10011031</v>
      </c>
      <c r="BI6" s="545">
        <f t="shared" si="29"/>
        <v>10011.031000000001</v>
      </c>
      <c r="BK6" s="544" t="s">
        <v>456</v>
      </c>
      <c r="BL6" s="545">
        <v>154140000</v>
      </c>
      <c r="BM6" s="545">
        <v>53057425</v>
      </c>
      <c r="BN6" s="545">
        <v>53057425</v>
      </c>
      <c r="BO6" s="545">
        <v>101082575</v>
      </c>
      <c r="BP6" s="545">
        <f t="shared" si="30"/>
        <v>154140</v>
      </c>
      <c r="BQ6" s="545">
        <f t="shared" si="31"/>
        <v>53057.425000000003</v>
      </c>
      <c r="BR6" s="545">
        <f t="shared" si="32"/>
        <v>53057.425000000003</v>
      </c>
      <c r="BS6" s="545">
        <f t="shared" si="33"/>
        <v>101082.575</v>
      </c>
      <c r="BV6" s="544" t="s">
        <v>456</v>
      </c>
      <c r="BW6" s="545">
        <v>10057987</v>
      </c>
      <c r="BX6" s="546">
        <f t="shared" si="34"/>
        <v>10057.986999999999</v>
      </c>
      <c r="BZ6" s="544" t="s">
        <v>456</v>
      </c>
      <c r="CA6" s="545">
        <v>154140000</v>
      </c>
      <c r="CB6" s="545">
        <v>63115412</v>
      </c>
      <c r="CC6" s="545">
        <v>63115412</v>
      </c>
      <c r="CD6" s="545">
        <v>91024588</v>
      </c>
      <c r="CE6" s="545">
        <f t="shared" si="35"/>
        <v>154140</v>
      </c>
      <c r="CF6" s="545">
        <f t="shared" si="36"/>
        <v>63115.411999999997</v>
      </c>
      <c r="CG6" s="545">
        <f t="shared" si="37"/>
        <v>63115.411999999997</v>
      </c>
      <c r="CH6" s="545">
        <f t="shared" si="38"/>
        <v>91024.588000000003</v>
      </c>
      <c r="CK6" s="547" t="s">
        <v>456</v>
      </c>
      <c r="CL6" s="546">
        <v>8774799</v>
      </c>
      <c r="CM6" s="546">
        <f t="shared" si="39"/>
        <v>8774.7990000000009</v>
      </c>
      <c r="CP6" s="547" t="s">
        <v>456</v>
      </c>
      <c r="CQ6" s="546">
        <v>154140000</v>
      </c>
      <c r="CR6" s="546">
        <v>71890211</v>
      </c>
      <c r="CS6" s="546">
        <v>71890211</v>
      </c>
      <c r="CT6" s="546">
        <v>82249789</v>
      </c>
      <c r="CU6" s="546">
        <f t="shared" si="2"/>
        <v>154140</v>
      </c>
      <c r="CV6" s="546">
        <f t="shared" si="3"/>
        <v>71890.210999999996</v>
      </c>
      <c r="CW6" s="546">
        <f t="shared" si="4"/>
        <v>71890.210999999996</v>
      </c>
      <c r="CX6" s="546">
        <f t="shared" si="5"/>
        <v>82249.789000000004</v>
      </c>
      <c r="CZ6" s="547" t="s">
        <v>456</v>
      </c>
      <c r="DA6" s="546">
        <v>8769969</v>
      </c>
      <c r="DB6" s="546">
        <f t="shared" si="40"/>
        <v>8769.9689999999991</v>
      </c>
      <c r="DE6" s="544" t="s">
        <v>456</v>
      </c>
      <c r="DF6" s="545">
        <v>154140000</v>
      </c>
      <c r="DG6" s="545">
        <v>80660180</v>
      </c>
      <c r="DH6" s="545">
        <v>80660180</v>
      </c>
      <c r="DI6" s="545">
        <v>73479820</v>
      </c>
      <c r="DJ6" s="546">
        <f t="shared" si="41"/>
        <v>154140</v>
      </c>
      <c r="DK6" s="546">
        <f t="shared" si="42"/>
        <v>80660.179999999993</v>
      </c>
      <c r="DL6" s="546">
        <f t="shared" si="43"/>
        <v>80660.179999999993</v>
      </c>
      <c r="DM6" s="546">
        <f t="shared" si="44"/>
        <v>73479.820000000007</v>
      </c>
      <c r="DP6" s="544" t="s">
        <v>456</v>
      </c>
      <c r="DQ6" s="545">
        <v>8776734</v>
      </c>
      <c r="DR6" s="546">
        <f t="shared" si="45"/>
        <v>8776.7340000000004</v>
      </c>
      <c r="DT6" s="544" t="s">
        <v>456</v>
      </c>
      <c r="DU6" s="545">
        <v>154140000</v>
      </c>
      <c r="DV6" s="545">
        <v>89436914</v>
      </c>
      <c r="DW6" s="545">
        <v>89436914</v>
      </c>
      <c r="DX6" s="545">
        <v>64703086</v>
      </c>
      <c r="DY6" s="546">
        <f t="shared" si="46"/>
        <v>154140</v>
      </c>
      <c r="DZ6" s="546">
        <f t="shared" si="47"/>
        <v>89436.914000000004</v>
      </c>
      <c r="EA6" s="546">
        <f t="shared" si="48"/>
        <v>89436.914000000004</v>
      </c>
      <c r="EB6" s="546">
        <f t="shared" si="49"/>
        <v>64703.086000000003</v>
      </c>
      <c r="EE6" s="547" t="s">
        <v>456</v>
      </c>
      <c r="EF6" s="546">
        <v>8776389</v>
      </c>
      <c r="EG6" s="548">
        <f t="shared" si="50"/>
        <v>8776.3889999999992</v>
      </c>
      <c r="EI6" s="547" t="s">
        <v>456</v>
      </c>
      <c r="EJ6" s="546">
        <v>154140000</v>
      </c>
      <c r="EK6" s="546">
        <v>98213303</v>
      </c>
      <c r="EL6" s="546">
        <v>98213303</v>
      </c>
      <c r="EM6" s="548">
        <f t="shared" si="51"/>
        <v>154140</v>
      </c>
      <c r="EN6" s="548">
        <f t="shared" si="52"/>
        <v>98213.303</v>
      </c>
      <c r="EO6" s="548">
        <f t="shared" si="53"/>
        <v>98213.303</v>
      </c>
      <c r="ER6" s="544" t="s">
        <v>456</v>
      </c>
      <c r="ES6" s="545">
        <v>8776734</v>
      </c>
      <c r="ET6" s="546">
        <f t="shared" si="54"/>
        <v>8776.7340000000004</v>
      </c>
      <c r="EW6" s="544" t="s">
        <v>456</v>
      </c>
      <c r="EX6" s="545">
        <v>0</v>
      </c>
      <c r="EY6" s="545">
        <v>154140000</v>
      </c>
      <c r="EZ6" s="545">
        <v>106990037</v>
      </c>
      <c r="FA6" s="545">
        <v>106990037</v>
      </c>
      <c r="FB6" s="545">
        <v>47149963</v>
      </c>
      <c r="FC6" s="546">
        <f t="shared" si="55"/>
        <v>0</v>
      </c>
      <c r="FD6" s="546">
        <f t="shared" si="56"/>
        <v>154140</v>
      </c>
      <c r="FE6" s="546">
        <f t="shared" si="57"/>
        <v>106990.037</v>
      </c>
      <c r="FF6" s="546">
        <f t="shared" si="58"/>
        <v>106990.037</v>
      </c>
      <c r="FG6" s="546">
        <f t="shared" si="59"/>
        <v>47149.963000000003</v>
      </c>
      <c r="FJ6" s="547" t="s">
        <v>456</v>
      </c>
      <c r="FK6" s="546">
        <v>9019899</v>
      </c>
      <c r="FL6" s="548">
        <f t="shared" si="60"/>
        <v>9019.8989999999994</v>
      </c>
      <c r="FN6" s="549" t="s">
        <v>456</v>
      </c>
      <c r="FO6" s="550">
        <v>116011474</v>
      </c>
      <c r="FP6" s="550">
        <v>116009936</v>
      </c>
      <c r="FQ6" s="550">
        <v>116009936</v>
      </c>
      <c r="FR6" s="550">
        <f t="shared" si="61"/>
        <v>116011.474</v>
      </c>
      <c r="FS6" s="550">
        <f t="shared" si="62"/>
        <v>116009.936</v>
      </c>
      <c r="FT6" s="550">
        <f t="shared" si="63"/>
        <v>116009.936</v>
      </c>
    </row>
    <row r="7" spans="1:176" ht="15" customHeight="1" x14ac:dyDescent="0.25">
      <c r="A7" s="890" t="s">
        <v>890</v>
      </c>
      <c r="B7" s="544" t="s">
        <v>520</v>
      </c>
      <c r="C7" s="545">
        <v>0</v>
      </c>
      <c r="D7" s="545">
        <v>16600000</v>
      </c>
      <c r="E7" s="545">
        <v>1512568</v>
      </c>
      <c r="F7" s="545">
        <v>15087432</v>
      </c>
      <c r="G7" s="545">
        <v>1512568</v>
      </c>
      <c r="H7" s="546">
        <f t="shared" si="10"/>
        <v>17297.2</v>
      </c>
      <c r="I7" s="546">
        <f t="shared" si="11"/>
        <v>1576.0958560000001</v>
      </c>
      <c r="J7" s="546">
        <f t="shared" si="12"/>
        <v>15721.104144000001</v>
      </c>
      <c r="K7" s="546">
        <f t="shared" si="13"/>
        <v>1576.0958560000001</v>
      </c>
      <c r="O7" s="544" t="s">
        <v>520</v>
      </c>
      <c r="P7" s="545">
        <v>1481333</v>
      </c>
      <c r="Q7" s="546">
        <f t="shared" si="14"/>
        <v>1543.5489860000002</v>
      </c>
      <c r="S7" s="544" t="s">
        <v>520</v>
      </c>
      <c r="T7" s="545">
        <v>16600000</v>
      </c>
      <c r="U7" s="545">
        <v>2993901</v>
      </c>
      <c r="V7" s="545">
        <v>2993901</v>
      </c>
      <c r="W7" s="545">
        <v>13606099</v>
      </c>
      <c r="X7" s="546">
        <f t="shared" si="15"/>
        <v>17297.2</v>
      </c>
      <c r="Y7" s="546">
        <f t="shared" si="16"/>
        <v>3119.6448420000002</v>
      </c>
      <c r="Z7" s="546">
        <f t="shared" si="17"/>
        <v>3119.6448420000002</v>
      </c>
      <c r="AA7" s="546">
        <f t="shared" si="18"/>
        <v>14177.555158000001</v>
      </c>
      <c r="AC7" s="544" t="s">
        <v>520</v>
      </c>
      <c r="AD7" s="545">
        <v>1481333</v>
      </c>
      <c r="AE7" s="546">
        <f t="shared" si="19"/>
        <v>1481.3330000000001</v>
      </c>
      <c r="AG7" s="544" t="s">
        <v>520</v>
      </c>
      <c r="AH7" s="545">
        <v>16600000</v>
      </c>
      <c r="AI7" s="545">
        <v>4475234</v>
      </c>
      <c r="AJ7" s="545">
        <v>4475234</v>
      </c>
      <c r="AK7" s="545">
        <v>12124766</v>
      </c>
      <c r="AL7" s="545">
        <f t="shared" si="20"/>
        <v>16600</v>
      </c>
      <c r="AM7" s="545">
        <f t="shared" si="21"/>
        <v>4475.2340000000004</v>
      </c>
      <c r="AN7" s="545">
        <f t="shared" si="22"/>
        <v>4475.2340000000004</v>
      </c>
      <c r="AO7" s="545">
        <f t="shared" si="23"/>
        <v>12124.766</v>
      </c>
      <c r="AR7" s="544" t="s">
        <v>520</v>
      </c>
      <c r="AS7" s="545">
        <v>1523486</v>
      </c>
      <c r="AT7" s="545">
        <f t="shared" si="24"/>
        <v>1523.4860000000001</v>
      </c>
      <c r="AV7" s="544" t="s">
        <v>520</v>
      </c>
      <c r="AW7" s="545">
        <v>16600000</v>
      </c>
      <c r="AX7" s="545">
        <v>5998720</v>
      </c>
      <c r="AY7" s="545">
        <v>5998720</v>
      </c>
      <c r="AZ7" s="545">
        <v>10601280</v>
      </c>
      <c r="BA7" s="546">
        <f t="shared" si="25"/>
        <v>16600</v>
      </c>
      <c r="BB7" s="546">
        <f t="shared" si="26"/>
        <v>5998.72</v>
      </c>
      <c r="BC7" s="546">
        <f t="shared" si="27"/>
        <v>5998.72</v>
      </c>
      <c r="BD7" s="546">
        <f t="shared" si="28"/>
        <v>10601.28</v>
      </c>
      <c r="BG7" s="544" t="s">
        <v>520</v>
      </c>
      <c r="BH7" s="545">
        <v>1297199</v>
      </c>
      <c r="BI7" s="545">
        <f t="shared" si="29"/>
        <v>1297.1990000000001</v>
      </c>
      <c r="BK7" s="544" t="s">
        <v>520</v>
      </c>
      <c r="BL7" s="545">
        <v>16600000</v>
      </c>
      <c r="BM7" s="545">
        <v>7295919</v>
      </c>
      <c r="BN7" s="545">
        <v>7295919</v>
      </c>
      <c r="BO7" s="545">
        <v>9304081</v>
      </c>
      <c r="BP7" s="545">
        <f t="shared" si="30"/>
        <v>16600</v>
      </c>
      <c r="BQ7" s="545">
        <f t="shared" si="31"/>
        <v>7295.9189999999999</v>
      </c>
      <c r="BR7" s="545">
        <f t="shared" si="32"/>
        <v>7295.9189999999999</v>
      </c>
      <c r="BS7" s="545">
        <f t="shared" si="33"/>
        <v>9304.0810000000001</v>
      </c>
      <c r="BV7" s="544" t="s">
        <v>520</v>
      </c>
      <c r="BW7" s="545">
        <v>1303622</v>
      </c>
      <c r="BX7" s="546">
        <f t="shared" si="34"/>
        <v>1303.6220000000001</v>
      </c>
      <c r="BZ7" s="544" t="s">
        <v>520</v>
      </c>
      <c r="CA7" s="545">
        <v>16600000</v>
      </c>
      <c r="CB7" s="545">
        <v>8599541</v>
      </c>
      <c r="CC7" s="545">
        <v>8599541</v>
      </c>
      <c r="CD7" s="545">
        <v>8000459</v>
      </c>
      <c r="CE7" s="545">
        <f t="shared" si="35"/>
        <v>16600</v>
      </c>
      <c r="CF7" s="545">
        <f t="shared" si="36"/>
        <v>8599.5409999999993</v>
      </c>
      <c r="CG7" s="545">
        <f t="shared" si="37"/>
        <v>8599.5409999999993</v>
      </c>
      <c r="CH7" s="545">
        <f t="shared" si="38"/>
        <v>8000.4589999999998</v>
      </c>
      <c r="CK7" s="547" t="s">
        <v>520</v>
      </c>
      <c r="CL7" s="546">
        <v>1225882</v>
      </c>
      <c r="CM7" s="546">
        <f t="shared" si="39"/>
        <v>1225.8820000000001</v>
      </c>
      <c r="CP7" s="547" t="s">
        <v>520</v>
      </c>
      <c r="CQ7" s="546">
        <v>16600000</v>
      </c>
      <c r="CR7" s="546">
        <v>9825423</v>
      </c>
      <c r="CS7" s="546">
        <v>9825423</v>
      </c>
      <c r="CT7" s="546">
        <v>6774577</v>
      </c>
      <c r="CU7" s="546">
        <f t="shared" si="2"/>
        <v>16600</v>
      </c>
      <c r="CV7" s="546">
        <f t="shared" si="3"/>
        <v>9825.4230000000007</v>
      </c>
      <c r="CW7" s="546">
        <f t="shared" si="4"/>
        <v>9825.4230000000007</v>
      </c>
      <c r="CX7" s="546">
        <f t="shared" si="5"/>
        <v>6774.5770000000002</v>
      </c>
      <c r="CZ7" s="547" t="s">
        <v>520</v>
      </c>
      <c r="DA7" s="546">
        <v>1221051</v>
      </c>
      <c r="DB7" s="546">
        <f t="shared" si="40"/>
        <v>1221.0509999999999</v>
      </c>
      <c r="DE7" s="544" t="s">
        <v>520</v>
      </c>
      <c r="DF7" s="545">
        <v>16600000</v>
      </c>
      <c r="DG7" s="545">
        <v>11046474</v>
      </c>
      <c r="DH7" s="545">
        <v>11046474</v>
      </c>
      <c r="DI7" s="545">
        <v>5553526</v>
      </c>
      <c r="DJ7" s="546">
        <f t="shared" si="41"/>
        <v>16600</v>
      </c>
      <c r="DK7" s="546">
        <f t="shared" si="42"/>
        <v>11046.474</v>
      </c>
      <c r="DL7" s="546">
        <f t="shared" si="43"/>
        <v>11046.474</v>
      </c>
      <c r="DM7" s="546">
        <f t="shared" si="44"/>
        <v>5553.5259999999998</v>
      </c>
      <c r="DP7" s="544" t="s">
        <v>520</v>
      </c>
      <c r="DQ7" s="545">
        <v>1243589</v>
      </c>
      <c r="DR7" s="546">
        <f t="shared" si="45"/>
        <v>1243.5889999999999</v>
      </c>
      <c r="DT7" s="544" t="s">
        <v>520</v>
      </c>
      <c r="DU7" s="545">
        <v>16600000</v>
      </c>
      <c r="DV7" s="545">
        <v>12290063</v>
      </c>
      <c r="DW7" s="545">
        <v>12290063</v>
      </c>
      <c r="DX7" s="545">
        <v>4309937</v>
      </c>
      <c r="DY7" s="546">
        <f t="shared" si="46"/>
        <v>16600</v>
      </c>
      <c r="DZ7" s="546">
        <f t="shared" si="47"/>
        <v>12290.063</v>
      </c>
      <c r="EA7" s="546">
        <f t="shared" si="48"/>
        <v>12290.063</v>
      </c>
      <c r="EB7" s="546">
        <f t="shared" si="49"/>
        <v>4309.9369999999999</v>
      </c>
      <c r="EE7" s="547" t="s">
        <v>520</v>
      </c>
      <c r="EF7" s="546">
        <v>1243245</v>
      </c>
      <c r="EG7" s="548">
        <f t="shared" si="50"/>
        <v>1243.2449999999999</v>
      </c>
      <c r="EI7" s="547" t="s">
        <v>520</v>
      </c>
      <c r="EJ7" s="546">
        <v>16600000</v>
      </c>
      <c r="EK7" s="546">
        <v>13533308</v>
      </c>
      <c r="EL7" s="546">
        <v>13533308</v>
      </c>
      <c r="EM7" s="548">
        <f t="shared" si="51"/>
        <v>16600</v>
      </c>
      <c r="EN7" s="548">
        <f t="shared" si="52"/>
        <v>13533.308000000001</v>
      </c>
      <c r="EO7" s="548">
        <f t="shared" si="53"/>
        <v>13533.308000000001</v>
      </c>
      <c r="ER7" s="544" t="s">
        <v>520</v>
      </c>
      <c r="ES7" s="545">
        <v>1243589</v>
      </c>
      <c r="ET7" s="546">
        <f t="shared" si="54"/>
        <v>1243.5889999999999</v>
      </c>
      <c r="EW7" s="544" t="s">
        <v>520</v>
      </c>
      <c r="EX7" s="545">
        <v>0</v>
      </c>
      <c r="EY7" s="545">
        <v>16600000</v>
      </c>
      <c r="EZ7" s="545">
        <v>14776897</v>
      </c>
      <c r="FA7" s="545">
        <v>14776897</v>
      </c>
      <c r="FB7" s="545">
        <v>1823103</v>
      </c>
      <c r="FC7" s="546">
        <f t="shared" si="55"/>
        <v>0</v>
      </c>
      <c r="FD7" s="546">
        <f t="shared" si="56"/>
        <v>16600</v>
      </c>
      <c r="FE7" s="546">
        <f t="shared" si="57"/>
        <v>14776.897000000001</v>
      </c>
      <c r="FF7" s="546">
        <f t="shared" si="58"/>
        <v>14776.897000000001</v>
      </c>
      <c r="FG7" s="546">
        <f t="shared" si="59"/>
        <v>1823.1030000000001</v>
      </c>
      <c r="FJ7" s="547" t="s">
        <v>520</v>
      </c>
      <c r="FK7" s="546">
        <v>1295234</v>
      </c>
      <c r="FL7" s="548">
        <f t="shared" si="60"/>
        <v>1295.2339999999999</v>
      </c>
      <c r="FN7" s="549" t="s">
        <v>520</v>
      </c>
      <c r="FO7" s="550">
        <v>16073669</v>
      </c>
      <c r="FP7" s="550">
        <v>16072131</v>
      </c>
      <c r="FQ7" s="550">
        <v>16072131</v>
      </c>
      <c r="FR7" s="550">
        <f t="shared" si="61"/>
        <v>16073.669</v>
      </c>
      <c r="FS7" s="550">
        <f t="shared" si="62"/>
        <v>16072.130999999999</v>
      </c>
      <c r="FT7" s="550">
        <f t="shared" si="63"/>
        <v>16072.130999999999</v>
      </c>
    </row>
    <row r="8" spans="1:176" ht="15" customHeight="1" x14ac:dyDescent="0.25">
      <c r="A8" s="890" t="s">
        <v>890</v>
      </c>
      <c r="B8" s="544" t="s">
        <v>455</v>
      </c>
      <c r="C8" s="545">
        <v>0</v>
      </c>
      <c r="D8" s="545">
        <v>88270000</v>
      </c>
      <c r="E8" s="545">
        <v>7807271</v>
      </c>
      <c r="F8" s="545">
        <v>80462729</v>
      </c>
      <c r="G8" s="545">
        <v>7807271</v>
      </c>
      <c r="H8" s="546">
        <f t="shared" si="10"/>
        <v>91977.34</v>
      </c>
      <c r="I8" s="546">
        <f t="shared" si="11"/>
        <v>8135.1763819999996</v>
      </c>
      <c r="J8" s="546">
        <f t="shared" si="12"/>
        <v>83842.163618000006</v>
      </c>
      <c r="K8" s="546">
        <f t="shared" si="13"/>
        <v>8135.1763819999996</v>
      </c>
      <c r="O8" s="544" t="s">
        <v>455</v>
      </c>
      <c r="P8" s="545">
        <v>7807271</v>
      </c>
      <c r="Q8" s="546">
        <f t="shared" si="14"/>
        <v>8135.1763819999996</v>
      </c>
      <c r="S8" s="544" t="s">
        <v>455</v>
      </c>
      <c r="T8" s="545">
        <v>88270000</v>
      </c>
      <c r="U8" s="545">
        <v>15614542</v>
      </c>
      <c r="V8" s="545">
        <v>15614542</v>
      </c>
      <c r="W8" s="545">
        <v>72655458</v>
      </c>
      <c r="X8" s="546">
        <f t="shared" si="15"/>
        <v>91977.34</v>
      </c>
      <c r="Y8" s="546">
        <f t="shared" si="16"/>
        <v>16270.352763999999</v>
      </c>
      <c r="Z8" s="546">
        <f t="shared" si="17"/>
        <v>16270.352763999999</v>
      </c>
      <c r="AA8" s="546">
        <f t="shared" si="18"/>
        <v>75706.987236000001</v>
      </c>
      <c r="AC8" s="544" t="s">
        <v>455</v>
      </c>
      <c r="AD8" s="545">
        <v>7807271</v>
      </c>
      <c r="AE8" s="546">
        <f t="shared" si="19"/>
        <v>7807.2709999999997</v>
      </c>
      <c r="AG8" s="544" t="s">
        <v>455</v>
      </c>
      <c r="AH8" s="545">
        <v>88270000</v>
      </c>
      <c r="AI8" s="545">
        <v>23421813</v>
      </c>
      <c r="AJ8" s="545">
        <v>23421813</v>
      </c>
      <c r="AK8" s="545">
        <v>64848187</v>
      </c>
      <c r="AL8" s="545">
        <f t="shared" si="20"/>
        <v>88270</v>
      </c>
      <c r="AM8" s="545">
        <f t="shared" si="21"/>
        <v>23421.812999999998</v>
      </c>
      <c r="AN8" s="545">
        <f t="shared" si="22"/>
        <v>23421.812999999998</v>
      </c>
      <c r="AO8" s="545">
        <f t="shared" si="23"/>
        <v>64848.186999999998</v>
      </c>
      <c r="AR8" s="544" t="s">
        <v>455</v>
      </c>
      <c r="AS8" s="545">
        <v>7807271</v>
      </c>
      <c r="AT8" s="545">
        <f t="shared" si="24"/>
        <v>7807.2709999999997</v>
      </c>
      <c r="AV8" s="544" t="s">
        <v>455</v>
      </c>
      <c r="AW8" s="545">
        <v>88270000</v>
      </c>
      <c r="AX8" s="545">
        <v>31229084</v>
      </c>
      <c r="AY8" s="545">
        <v>31229084</v>
      </c>
      <c r="AZ8" s="545">
        <v>57040916</v>
      </c>
      <c r="BA8" s="546">
        <f t="shared" si="25"/>
        <v>88270</v>
      </c>
      <c r="BB8" s="546">
        <f t="shared" si="26"/>
        <v>31229.083999999999</v>
      </c>
      <c r="BC8" s="546">
        <f t="shared" si="27"/>
        <v>31229.083999999999</v>
      </c>
      <c r="BD8" s="546">
        <f t="shared" si="28"/>
        <v>57040.915999999997</v>
      </c>
      <c r="BG8" s="544" t="s">
        <v>455</v>
      </c>
      <c r="BH8" s="545">
        <v>7169734</v>
      </c>
      <c r="BI8" s="545">
        <f t="shared" si="29"/>
        <v>7169.7340000000004</v>
      </c>
      <c r="BK8" s="544" t="s">
        <v>455</v>
      </c>
      <c r="BL8" s="545">
        <v>88270000</v>
      </c>
      <c r="BM8" s="545">
        <v>38398818</v>
      </c>
      <c r="BN8" s="545">
        <v>38398818</v>
      </c>
      <c r="BO8" s="545">
        <v>49871182</v>
      </c>
      <c r="BP8" s="545">
        <f t="shared" si="30"/>
        <v>88270</v>
      </c>
      <c r="BQ8" s="545">
        <f t="shared" si="31"/>
        <v>38398.817999999999</v>
      </c>
      <c r="BR8" s="545">
        <f t="shared" si="32"/>
        <v>38398.817999999999</v>
      </c>
      <c r="BS8" s="545">
        <f t="shared" si="33"/>
        <v>49871.182000000001</v>
      </c>
      <c r="BV8" s="544" t="s">
        <v>455</v>
      </c>
      <c r="BW8" s="545">
        <v>7203103</v>
      </c>
      <c r="BX8" s="546">
        <f t="shared" si="34"/>
        <v>7203.1030000000001</v>
      </c>
      <c r="BZ8" s="544" t="s">
        <v>455</v>
      </c>
      <c r="CA8" s="545">
        <v>88270000</v>
      </c>
      <c r="CB8" s="545">
        <v>45601921</v>
      </c>
      <c r="CC8" s="545">
        <v>45601921</v>
      </c>
      <c r="CD8" s="545">
        <v>42668079</v>
      </c>
      <c r="CE8" s="545">
        <f t="shared" si="35"/>
        <v>88270</v>
      </c>
      <c r="CF8" s="545">
        <f t="shared" si="36"/>
        <v>45601.921000000002</v>
      </c>
      <c r="CG8" s="545">
        <f t="shared" si="37"/>
        <v>45601.921000000002</v>
      </c>
      <c r="CH8" s="545">
        <f t="shared" si="38"/>
        <v>42668.078999999998</v>
      </c>
      <c r="CK8" s="547" t="s">
        <v>455</v>
      </c>
      <c r="CL8" s="546">
        <v>6560443</v>
      </c>
      <c r="CM8" s="546">
        <f t="shared" si="39"/>
        <v>6560.4430000000002</v>
      </c>
      <c r="CP8" s="547" t="s">
        <v>455</v>
      </c>
      <c r="CQ8" s="546">
        <v>88270000</v>
      </c>
      <c r="CR8" s="546">
        <v>52162364</v>
      </c>
      <c r="CS8" s="546">
        <v>52162364</v>
      </c>
      <c r="CT8" s="546">
        <v>36107636</v>
      </c>
      <c r="CU8" s="546">
        <f t="shared" si="2"/>
        <v>88270</v>
      </c>
      <c r="CV8" s="546">
        <f t="shared" si="3"/>
        <v>52162.364000000001</v>
      </c>
      <c r="CW8" s="546">
        <f t="shared" si="4"/>
        <v>52162.364000000001</v>
      </c>
      <c r="CX8" s="546">
        <f t="shared" si="5"/>
        <v>36107.635999999999</v>
      </c>
      <c r="CZ8" s="547" t="s">
        <v>455</v>
      </c>
      <c r="DA8" s="546">
        <v>6555613</v>
      </c>
      <c r="DB8" s="546">
        <f t="shared" si="40"/>
        <v>6555.6130000000003</v>
      </c>
      <c r="DE8" s="544" t="s">
        <v>455</v>
      </c>
      <c r="DF8" s="545">
        <v>88270000</v>
      </c>
      <c r="DG8" s="545">
        <v>58717977</v>
      </c>
      <c r="DH8" s="545">
        <v>58717977</v>
      </c>
      <c r="DI8" s="545">
        <v>29552023</v>
      </c>
      <c r="DJ8" s="546">
        <f t="shared" si="41"/>
        <v>88270</v>
      </c>
      <c r="DK8" s="546">
        <f t="shared" si="42"/>
        <v>58717.976999999999</v>
      </c>
      <c r="DL8" s="546">
        <f t="shared" si="43"/>
        <v>58717.976999999999</v>
      </c>
      <c r="DM8" s="546">
        <f t="shared" si="44"/>
        <v>29552.023000000001</v>
      </c>
      <c r="DP8" s="544" t="s">
        <v>455</v>
      </c>
      <c r="DQ8" s="545">
        <v>6562378</v>
      </c>
      <c r="DR8" s="546">
        <f t="shared" si="45"/>
        <v>6562.3779999999997</v>
      </c>
      <c r="DT8" s="544" t="s">
        <v>455</v>
      </c>
      <c r="DU8" s="545">
        <v>88270000</v>
      </c>
      <c r="DV8" s="545">
        <v>65280355</v>
      </c>
      <c r="DW8" s="545">
        <v>65280355</v>
      </c>
      <c r="DX8" s="545">
        <v>22989645</v>
      </c>
      <c r="DY8" s="546">
        <f t="shared" si="46"/>
        <v>88270</v>
      </c>
      <c r="DZ8" s="546">
        <f t="shared" si="47"/>
        <v>65280.355000000003</v>
      </c>
      <c r="EA8" s="546">
        <f t="shared" si="48"/>
        <v>65280.355000000003</v>
      </c>
      <c r="EB8" s="546">
        <f t="shared" si="49"/>
        <v>22989.645</v>
      </c>
      <c r="EE8" s="547" t="s">
        <v>455</v>
      </c>
      <c r="EF8" s="546">
        <v>6562033</v>
      </c>
      <c r="EG8" s="548">
        <f t="shared" si="50"/>
        <v>6562.0330000000004</v>
      </c>
      <c r="EI8" s="547" t="s">
        <v>455</v>
      </c>
      <c r="EJ8" s="546">
        <v>88270000</v>
      </c>
      <c r="EK8" s="546">
        <v>71842388</v>
      </c>
      <c r="EL8" s="546">
        <v>71842388</v>
      </c>
      <c r="EM8" s="548">
        <f t="shared" si="51"/>
        <v>88270</v>
      </c>
      <c r="EN8" s="548">
        <f t="shared" si="52"/>
        <v>71842.388000000006</v>
      </c>
      <c r="EO8" s="548">
        <f t="shared" si="53"/>
        <v>71842.388000000006</v>
      </c>
      <c r="ER8" s="544" t="s">
        <v>455</v>
      </c>
      <c r="ES8" s="545">
        <v>6562378</v>
      </c>
      <c r="ET8" s="546">
        <f t="shared" si="54"/>
        <v>6562.3779999999997</v>
      </c>
      <c r="EW8" s="544" t="s">
        <v>455</v>
      </c>
      <c r="EX8" s="545">
        <v>0</v>
      </c>
      <c r="EY8" s="545">
        <v>88270000</v>
      </c>
      <c r="EZ8" s="545">
        <v>78404766</v>
      </c>
      <c r="FA8" s="545">
        <v>78404766</v>
      </c>
      <c r="FB8" s="545">
        <v>9865234</v>
      </c>
      <c r="FC8" s="546">
        <f t="shared" si="55"/>
        <v>0</v>
      </c>
      <c r="FD8" s="546">
        <f t="shared" si="56"/>
        <v>88270</v>
      </c>
      <c r="FE8" s="546">
        <f t="shared" si="57"/>
        <v>78404.766000000003</v>
      </c>
      <c r="FF8" s="546">
        <f t="shared" si="58"/>
        <v>78404.766000000003</v>
      </c>
      <c r="FG8" s="546">
        <f t="shared" si="59"/>
        <v>9865.2340000000004</v>
      </c>
      <c r="FJ8" s="547" t="s">
        <v>455</v>
      </c>
      <c r="FK8" s="546">
        <v>6742831</v>
      </c>
      <c r="FL8" s="548">
        <f t="shared" si="60"/>
        <v>6742.8310000000001</v>
      </c>
      <c r="FN8" s="549" t="s">
        <v>455</v>
      </c>
      <c r="FO8" s="550">
        <v>85149135</v>
      </c>
      <c r="FP8" s="550">
        <v>85147597</v>
      </c>
      <c r="FQ8" s="550">
        <v>85147597</v>
      </c>
      <c r="FR8" s="550">
        <f t="shared" si="61"/>
        <v>85149.134999999995</v>
      </c>
      <c r="FS8" s="550">
        <f t="shared" si="62"/>
        <v>85147.596999999994</v>
      </c>
      <c r="FT8" s="550">
        <f t="shared" si="63"/>
        <v>85147.596999999994</v>
      </c>
    </row>
    <row r="9" spans="1:176" ht="15" customHeight="1" x14ac:dyDescent="0.25">
      <c r="A9" s="890" t="s">
        <v>890</v>
      </c>
      <c r="B9" s="544" t="s">
        <v>521</v>
      </c>
      <c r="C9" s="545">
        <v>0</v>
      </c>
      <c r="D9" s="545">
        <v>9630000</v>
      </c>
      <c r="E9" s="545">
        <v>811882</v>
      </c>
      <c r="F9" s="545">
        <v>8818118</v>
      </c>
      <c r="G9" s="545">
        <v>811882</v>
      </c>
      <c r="H9" s="546">
        <f t="shared" si="10"/>
        <v>10034.460000000001</v>
      </c>
      <c r="I9" s="546">
        <f t="shared" si="11"/>
        <v>845.981044</v>
      </c>
      <c r="J9" s="546">
        <f t="shared" si="12"/>
        <v>9188.4789560000008</v>
      </c>
      <c r="K9" s="546">
        <f t="shared" si="13"/>
        <v>845.981044</v>
      </c>
      <c r="O9" s="544" t="s">
        <v>521</v>
      </c>
      <c r="P9" s="545">
        <v>811882</v>
      </c>
      <c r="Q9" s="546">
        <f t="shared" si="14"/>
        <v>845.981044</v>
      </c>
      <c r="S9" s="544" t="s">
        <v>521</v>
      </c>
      <c r="T9" s="545">
        <v>9630000</v>
      </c>
      <c r="U9" s="545">
        <v>1623764</v>
      </c>
      <c r="V9" s="545">
        <v>1623764</v>
      </c>
      <c r="W9" s="545">
        <v>8006236</v>
      </c>
      <c r="X9" s="546">
        <f t="shared" si="15"/>
        <v>10034.460000000001</v>
      </c>
      <c r="Y9" s="546">
        <f t="shared" si="16"/>
        <v>1691.962088</v>
      </c>
      <c r="Z9" s="546">
        <f t="shared" si="17"/>
        <v>1691.962088</v>
      </c>
      <c r="AA9" s="546">
        <f t="shared" si="18"/>
        <v>8342.4979120000007</v>
      </c>
      <c r="AC9" s="544" t="s">
        <v>521</v>
      </c>
      <c r="AD9" s="545">
        <v>811882</v>
      </c>
      <c r="AE9" s="546">
        <f t="shared" si="19"/>
        <v>811.88199999999995</v>
      </c>
      <c r="AG9" s="544" t="s">
        <v>521</v>
      </c>
      <c r="AH9" s="545">
        <v>9630000</v>
      </c>
      <c r="AI9" s="545">
        <v>2435646</v>
      </c>
      <c r="AJ9" s="545">
        <v>2435646</v>
      </c>
      <c r="AK9" s="545">
        <v>7194354</v>
      </c>
      <c r="AL9" s="545">
        <f t="shared" si="20"/>
        <v>9630</v>
      </c>
      <c r="AM9" s="545">
        <f t="shared" si="21"/>
        <v>2435.6460000000002</v>
      </c>
      <c r="AN9" s="545">
        <f t="shared" si="22"/>
        <v>2435.6460000000002</v>
      </c>
      <c r="AO9" s="545">
        <f t="shared" si="23"/>
        <v>7194.3540000000003</v>
      </c>
      <c r="AR9" s="544" t="s">
        <v>521</v>
      </c>
      <c r="AS9" s="545">
        <v>811882</v>
      </c>
      <c r="AT9" s="545">
        <f t="shared" si="24"/>
        <v>811.88199999999995</v>
      </c>
      <c r="AV9" s="544" t="s">
        <v>521</v>
      </c>
      <c r="AW9" s="545">
        <v>9630000</v>
      </c>
      <c r="AX9" s="545">
        <v>3247528</v>
      </c>
      <c r="AY9" s="545">
        <v>3247528</v>
      </c>
      <c r="AZ9" s="545">
        <v>6382472</v>
      </c>
      <c r="BA9" s="546">
        <f t="shared" si="25"/>
        <v>9630</v>
      </c>
      <c r="BB9" s="546">
        <f t="shared" si="26"/>
        <v>3247.5279999999998</v>
      </c>
      <c r="BC9" s="546">
        <f t="shared" si="27"/>
        <v>3247.5279999999998</v>
      </c>
      <c r="BD9" s="546">
        <f t="shared" si="28"/>
        <v>6382.4719999999998</v>
      </c>
      <c r="BG9" s="544" t="s">
        <v>521</v>
      </c>
      <c r="BH9" s="545">
        <v>811882</v>
      </c>
      <c r="BI9" s="545">
        <f t="shared" si="29"/>
        <v>811.88199999999995</v>
      </c>
      <c r="BK9" s="544" t="s">
        <v>521</v>
      </c>
      <c r="BL9" s="545">
        <v>9630000</v>
      </c>
      <c r="BM9" s="545">
        <v>4059410</v>
      </c>
      <c r="BN9" s="545">
        <v>4059410</v>
      </c>
      <c r="BO9" s="545">
        <v>5570590</v>
      </c>
      <c r="BP9" s="545">
        <f t="shared" si="30"/>
        <v>9630</v>
      </c>
      <c r="BQ9" s="545">
        <f t="shared" si="31"/>
        <v>4059.41</v>
      </c>
      <c r="BR9" s="545">
        <f t="shared" si="32"/>
        <v>4059.41</v>
      </c>
      <c r="BS9" s="545">
        <f t="shared" si="33"/>
        <v>5570.59</v>
      </c>
      <c r="BV9" s="544" t="s">
        <v>521</v>
      </c>
      <c r="BW9" s="545">
        <v>815942</v>
      </c>
      <c r="BX9" s="546">
        <f t="shared" si="34"/>
        <v>815.94200000000001</v>
      </c>
      <c r="BZ9" s="544" t="s">
        <v>521</v>
      </c>
      <c r="CA9" s="545">
        <v>9630000</v>
      </c>
      <c r="CB9" s="545">
        <v>4875352</v>
      </c>
      <c r="CC9" s="545">
        <v>4875352</v>
      </c>
      <c r="CD9" s="545">
        <v>4754648</v>
      </c>
      <c r="CE9" s="545">
        <f t="shared" si="35"/>
        <v>9630</v>
      </c>
      <c r="CF9" s="545">
        <f t="shared" si="36"/>
        <v>4875.3519999999999</v>
      </c>
      <c r="CG9" s="545">
        <f t="shared" si="37"/>
        <v>4875.3519999999999</v>
      </c>
      <c r="CH9" s="545">
        <f t="shared" si="38"/>
        <v>4754.6480000000001</v>
      </c>
      <c r="CK9" s="547" t="s">
        <v>521</v>
      </c>
      <c r="CL9" s="546">
        <v>814008</v>
      </c>
      <c r="CM9" s="546">
        <f t="shared" si="39"/>
        <v>814.00800000000004</v>
      </c>
      <c r="CP9" s="547" t="s">
        <v>521</v>
      </c>
      <c r="CQ9" s="546">
        <v>9630000</v>
      </c>
      <c r="CR9" s="546">
        <v>5689360</v>
      </c>
      <c r="CS9" s="546">
        <v>5689360</v>
      </c>
      <c r="CT9" s="546">
        <v>3940640</v>
      </c>
      <c r="CU9" s="546">
        <f t="shared" si="2"/>
        <v>9630</v>
      </c>
      <c r="CV9" s="546">
        <f t="shared" si="3"/>
        <v>5689.36</v>
      </c>
      <c r="CW9" s="546">
        <f t="shared" si="4"/>
        <v>5689.36</v>
      </c>
      <c r="CX9" s="546">
        <f t="shared" si="5"/>
        <v>3940.64</v>
      </c>
      <c r="CZ9" s="547" t="s">
        <v>521</v>
      </c>
      <c r="DA9" s="546">
        <v>809177</v>
      </c>
      <c r="DB9" s="546">
        <f t="shared" si="40"/>
        <v>809.17700000000002</v>
      </c>
      <c r="DE9" s="544" t="s">
        <v>521</v>
      </c>
      <c r="DF9" s="545">
        <v>9630000</v>
      </c>
      <c r="DG9" s="545">
        <v>6498537</v>
      </c>
      <c r="DH9" s="545">
        <v>6498537</v>
      </c>
      <c r="DI9" s="545">
        <v>3131463</v>
      </c>
      <c r="DJ9" s="546">
        <f t="shared" si="41"/>
        <v>9630</v>
      </c>
      <c r="DK9" s="546">
        <f t="shared" si="42"/>
        <v>6498.5370000000003</v>
      </c>
      <c r="DL9" s="546">
        <f t="shared" si="43"/>
        <v>6498.5370000000003</v>
      </c>
      <c r="DM9" s="546">
        <f t="shared" si="44"/>
        <v>3131.4630000000002</v>
      </c>
      <c r="DP9" s="544" t="s">
        <v>521</v>
      </c>
      <c r="DQ9" s="545">
        <v>815942</v>
      </c>
      <c r="DR9" s="546">
        <f t="shared" si="45"/>
        <v>815.94200000000001</v>
      </c>
      <c r="DT9" s="544" t="s">
        <v>521</v>
      </c>
      <c r="DU9" s="545">
        <v>9630000</v>
      </c>
      <c r="DV9" s="545">
        <v>7314479</v>
      </c>
      <c r="DW9" s="545">
        <v>7314479</v>
      </c>
      <c r="DX9" s="545">
        <v>2315521</v>
      </c>
      <c r="DY9" s="546">
        <f t="shared" si="46"/>
        <v>9630</v>
      </c>
      <c r="DZ9" s="546">
        <f t="shared" si="47"/>
        <v>7314.4790000000003</v>
      </c>
      <c r="EA9" s="546">
        <f t="shared" si="48"/>
        <v>7314.4790000000003</v>
      </c>
      <c r="EB9" s="546">
        <f t="shared" si="49"/>
        <v>2315.5210000000002</v>
      </c>
      <c r="EE9" s="547" t="s">
        <v>975</v>
      </c>
      <c r="EF9" s="546">
        <v>163035</v>
      </c>
      <c r="EG9" s="548">
        <f t="shared" si="50"/>
        <v>163.035</v>
      </c>
      <c r="EI9" s="547" t="s">
        <v>975</v>
      </c>
      <c r="EJ9" s="546">
        <v>163035</v>
      </c>
      <c r="EK9" s="546">
        <v>163035</v>
      </c>
      <c r="EL9" s="546">
        <v>163035</v>
      </c>
      <c r="EM9" s="548">
        <f t="shared" si="51"/>
        <v>163.035</v>
      </c>
      <c r="EN9" s="548">
        <f t="shared" si="52"/>
        <v>163.035</v>
      </c>
      <c r="EO9" s="548">
        <f t="shared" si="53"/>
        <v>163.035</v>
      </c>
      <c r="ER9" s="544" t="s">
        <v>521</v>
      </c>
      <c r="ES9" s="545">
        <v>815942</v>
      </c>
      <c r="ET9" s="546">
        <f t="shared" si="54"/>
        <v>815.94200000000001</v>
      </c>
      <c r="EW9" s="544" t="s">
        <v>975</v>
      </c>
      <c r="EX9" s="545">
        <v>0</v>
      </c>
      <c r="EY9" s="545">
        <v>163035</v>
      </c>
      <c r="EZ9" s="545">
        <v>163035</v>
      </c>
      <c r="FA9" s="545">
        <v>163035</v>
      </c>
      <c r="FB9" s="545">
        <v>0</v>
      </c>
      <c r="FC9" s="546">
        <f t="shared" si="55"/>
        <v>0</v>
      </c>
      <c r="FD9" s="546">
        <f t="shared" si="56"/>
        <v>163.035</v>
      </c>
      <c r="FE9" s="546">
        <f t="shared" si="57"/>
        <v>163.035</v>
      </c>
      <c r="FF9" s="546">
        <f t="shared" si="58"/>
        <v>163.035</v>
      </c>
      <c r="FG9" s="546">
        <f t="shared" si="59"/>
        <v>0</v>
      </c>
      <c r="FJ9" s="547" t="s">
        <v>521</v>
      </c>
      <c r="FK9" s="546">
        <v>838882</v>
      </c>
      <c r="FL9" s="548">
        <f t="shared" si="60"/>
        <v>838.88199999999995</v>
      </c>
      <c r="FN9" s="549" t="s">
        <v>975</v>
      </c>
      <c r="FO9" s="550">
        <v>163035</v>
      </c>
      <c r="FP9" s="550">
        <v>163035</v>
      </c>
      <c r="FQ9" s="550">
        <v>163035</v>
      </c>
      <c r="FR9" s="550">
        <f t="shared" si="61"/>
        <v>163.035</v>
      </c>
      <c r="FS9" s="550">
        <f t="shared" si="62"/>
        <v>163.035</v>
      </c>
      <c r="FT9" s="550">
        <f t="shared" si="63"/>
        <v>163.035</v>
      </c>
    </row>
    <row r="10" spans="1:176" ht="15" customHeight="1" x14ac:dyDescent="0.25">
      <c r="A10" s="890" t="s">
        <v>890</v>
      </c>
      <c r="B10" s="544" t="s">
        <v>522</v>
      </c>
      <c r="C10" s="545">
        <v>0</v>
      </c>
      <c r="D10" s="545">
        <v>2200000</v>
      </c>
      <c r="E10" s="545">
        <v>185985</v>
      </c>
      <c r="F10" s="545">
        <v>2014015</v>
      </c>
      <c r="G10" s="545">
        <v>185985</v>
      </c>
      <c r="H10" s="546">
        <f t="shared" si="10"/>
        <v>2292.4</v>
      </c>
      <c r="I10" s="546">
        <f t="shared" si="11"/>
        <v>193.79637000000002</v>
      </c>
      <c r="J10" s="546">
        <f t="shared" si="12"/>
        <v>2098.6036300000001</v>
      </c>
      <c r="K10" s="546">
        <f t="shared" si="13"/>
        <v>193.79637000000002</v>
      </c>
      <c r="O10" s="544" t="s">
        <v>522</v>
      </c>
      <c r="P10" s="545">
        <v>185985</v>
      </c>
      <c r="Q10" s="546">
        <f t="shared" si="14"/>
        <v>193.79637000000002</v>
      </c>
      <c r="S10" s="544" t="s">
        <v>522</v>
      </c>
      <c r="T10" s="545">
        <v>2200000</v>
      </c>
      <c r="U10" s="545">
        <v>371970</v>
      </c>
      <c r="V10" s="545">
        <v>371970</v>
      </c>
      <c r="W10" s="545">
        <v>1828030</v>
      </c>
      <c r="X10" s="546">
        <f t="shared" si="15"/>
        <v>2292.4</v>
      </c>
      <c r="Y10" s="546">
        <f t="shared" si="16"/>
        <v>387.59274000000005</v>
      </c>
      <c r="Z10" s="546">
        <f t="shared" si="17"/>
        <v>387.59274000000005</v>
      </c>
      <c r="AA10" s="546">
        <f t="shared" si="18"/>
        <v>1904.80726</v>
      </c>
      <c r="AC10" s="544" t="s">
        <v>522</v>
      </c>
      <c r="AD10" s="545">
        <v>185985</v>
      </c>
      <c r="AE10" s="546">
        <f t="shared" si="19"/>
        <v>185.98500000000001</v>
      </c>
      <c r="AG10" s="544" t="s">
        <v>522</v>
      </c>
      <c r="AH10" s="545">
        <v>2200000</v>
      </c>
      <c r="AI10" s="545">
        <v>557955</v>
      </c>
      <c r="AJ10" s="545">
        <v>557955</v>
      </c>
      <c r="AK10" s="545">
        <v>1642045</v>
      </c>
      <c r="AL10" s="545">
        <f t="shared" si="20"/>
        <v>2200</v>
      </c>
      <c r="AM10" s="545">
        <f t="shared" si="21"/>
        <v>557.95500000000004</v>
      </c>
      <c r="AN10" s="545">
        <f t="shared" si="22"/>
        <v>557.95500000000004</v>
      </c>
      <c r="AO10" s="545">
        <f t="shared" si="23"/>
        <v>1642.0450000000001</v>
      </c>
      <c r="AR10" s="544" t="s">
        <v>522</v>
      </c>
      <c r="AS10" s="545">
        <v>185985</v>
      </c>
      <c r="AT10" s="545">
        <f t="shared" si="24"/>
        <v>185.98500000000001</v>
      </c>
      <c r="AV10" s="544" t="s">
        <v>522</v>
      </c>
      <c r="AW10" s="545">
        <v>2200000</v>
      </c>
      <c r="AX10" s="545">
        <v>743940</v>
      </c>
      <c r="AY10" s="545">
        <v>743940</v>
      </c>
      <c r="AZ10" s="545">
        <v>1456060</v>
      </c>
      <c r="BA10" s="546">
        <f t="shared" si="25"/>
        <v>2200</v>
      </c>
      <c r="BB10" s="546">
        <f t="shared" si="26"/>
        <v>743.94</v>
      </c>
      <c r="BC10" s="546">
        <f t="shared" si="27"/>
        <v>743.94</v>
      </c>
      <c r="BD10" s="546">
        <f t="shared" si="28"/>
        <v>1456.06</v>
      </c>
      <c r="BG10" s="544" t="s">
        <v>522</v>
      </c>
      <c r="BH10" s="545">
        <v>185985</v>
      </c>
      <c r="BI10" s="545">
        <f t="shared" si="29"/>
        <v>185.98500000000001</v>
      </c>
      <c r="BK10" s="544" t="s">
        <v>522</v>
      </c>
      <c r="BL10" s="545">
        <v>2200000</v>
      </c>
      <c r="BM10" s="545">
        <v>929925</v>
      </c>
      <c r="BN10" s="545">
        <v>929925</v>
      </c>
      <c r="BO10" s="545">
        <v>1270075</v>
      </c>
      <c r="BP10" s="545">
        <f t="shared" si="30"/>
        <v>2200</v>
      </c>
      <c r="BQ10" s="545">
        <f t="shared" si="31"/>
        <v>929.92499999999995</v>
      </c>
      <c r="BR10" s="545">
        <f t="shared" si="32"/>
        <v>929.92499999999995</v>
      </c>
      <c r="BS10" s="545">
        <f t="shared" si="33"/>
        <v>1270.075</v>
      </c>
      <c r="BV10" s="544" t="s">
        <v>522</v>
      </c>
      <c r="BW10" s="545">
        <v>185985</v>
      </c>
      <c r="BX10" s="546">
        <f t="shared" si="34"/>
        <v>185.98500000000001</v>
      </c>
      <c r="BZ10" s="544" t="s">
        <v>522</v>
      </c>
      <c r="CA10" s="545">
        <v>2200000</v>
      </c>
      <c r="CB10" s="545">
        <v>1115910</v>
      </c>
      <c r="CC10" s="545">
        <v>1115910</v>
      </c>
      <c r="CD10" s="545">
        <v>1084090</v>
      </c>
      <c r="CE10" s="545">
        <f t="shared" si="35"/>
        <v>2200</v>
      </c>
      <c r="CF10" s="545">
        <f t="shared" si="36"/>
        <v>1115.9100000000001</v>
      </c>
      <c r="CG10" s="545">
        <f t="shared" si="37"/>
        <v>1115.9100000000001</v>
      </c>
      <c r="CH10" s="545">
        <f t="shared" si="38"/>
        <v>1084.0899999999999</v>
      </c>
      <c r="CK10" s="547" t="s">
        <v>522</v>
      </c>
      <c r="CL10" s="546">
        <v>184051</v>
      </c>
      <c r="CM10" s="546">
        <f t="shared" si="39"/>
        <v>184.05099999999999</v>
      </c>
      <c r="CP10" s="547" t="s">
        <v>522</v>
      </c>
      <c r="CQ10" s="546">
        <v>2200000</v>
      </c>
      <c r="CR10" s="546">
        <v>1299961</v>
      </c>
      <c r="CS10" s="546">
        <v>1299961</v>
      </c>
      <c r="CT10" s="546">
        <v>900039</v>
      </c>
      <c r="CU10" s="546">
        <f t="shared" si="2"/>
        <v>2200</v>
      </c>
      <c r="CV10" s="546">
        <f t="shared" si="3"/>
        <v>1299.961</v>
      </c>
      <c r="CW10" s="546">
        <f t="shared" si="4"/>
        <v>1299.961</v>
      </c>
      <c r="CX10" s="546">
        <f t="shared" si="5"/>
        <v>900.03899999999999</v>
      </c>
      <c r="CZ10" s="547" t="s">
        <v>522</v>
      </c>
      <c r="DA10" s="546">
        <v>181322</v>
      </c>
      <c r="DB10" s="546">
        <f t="shared" si="40"/>
        <v>181.322</v>
      </c>
      <c r="DE10" s="544" t="s">
        <v>522</v>
      </c>
      <c r="DF10" s="545">
        <v>2200000</v>
      </c>
      <c r="DG10" s="545">
        <v>1481283</v>
      </c>
      <c r="DH10" s="545">
        <v>1481283</v>
      </c>
      <c r="DI10" s="545">
        <v>718717</v>
      </c>
      <c r="DJ10" s="546">
        <f t="shared" si="41"/>
        <v>2200</v>
      </c>
      <c r="DK10" s="546">
        <f t="shared" si="42"/>
        <v>1481.2829999999999</v>
      </c>
      <c r="DL10" s="546">
        <f t="shared" si="43"/>
        <v>1481.2829999999999</v>
      </c>
      <c r="DM10" s="546">
        <f t="shared" si="44"/>
        <v>718.71699999999998</v>
      </c>
      <c r="DP10" s="544" t="s">
        <v>522</v>
      </c>
      <c r="DQ10" s="545">
        <v>185985</v>
      </c>
      <c r="DR10" s="546">
        <f t="shared" si="45"/>
        <v>185.98500000000001</v>
      </c>
      <c r="DT10" s="544" t="s">
        <v>522</v>
      </c>
      <c r="DU10" s="545">
        <v>2200000</v>
      </c>
      <c r="DV10" s="545">
        <v>1667268</v>
      </c>
      <c r="DW10" s="545">
        <v>1667268</v>
      </c>
      <c r="DX10" s="545">
        <v>532732</v>
      </c>
      <c r="DY10" s="546">
        <f t="shared" si="46"/>
        <v>2200</v>
      </c>
      <c r="DZ10" s="546">
        <f t="shared" si="47"/>
        <v>1667.268</v>
      </c>
      <c r="EA10" s="546">
        <f t="shared" si="48"/>
        <v>1667.268</v>
      </c>
      <c r="EB10" s="546">
        <f t="shared" si="49"/>
        <v>532.73199999999997</v>
      </c>
      <c r="EE10" s="547" t="s">
        <v>521</v>
      </c>
      <c r="EF10" s="546">
        <v>815598</v>
      </c>
      <c r="EG10" s="548">
        <f t="shared" si="50"/>
        <v>815.59799999999996</v>
      </c>
      <c r="EI10" s="547" t="s">
        <v>521</v>
      </c>
      <c r="EJ10" s="546">
        <v>9630000</v>
      </c>
      <c r="EK10" s="546">
        <v>8130077</v>
      </c>
      <c r="EL10" s="546">
        <v>8130077</v>
      </c>
      <c r="EM10" s="548">
        <f t="shared" si="51"/>
        <v>9630</v>
      </c>
      <c r="EN10" s="548">
        <f t="shared" si="52"/>
        <v>8130.0770000000002</v>
      </c>
      <c r="EO10" s="548">
        <f t="shared" si="53"/>
        <v>8130.0770000000002</v>
      </c>
      <c r="ER10" s="544" t="s">
        <v>522</v>
      </c>
      <c r="ES10" s="545">
        <v>185985</v>
      </c>
      <c r="ET10" s="546">
        <f t="shared" si="54"/>
        <v>185.98500000000001</v>
      </c>
      <c r="EW10" s="544" t="s">
        <v>521</v>
      </c>
      <c r="EX10" s="545">
        <v>0</v>
      </c>
      <c r="EY10" s="545">
        <v>9630000</v>
      </c>
      <c r="EZ10" s="545">
        <v>8946019</v>
      </c>
      <c r="FA10" s="545">
        <v>8946019</v>
      </c>
      <c r="FB10" s="545">
        <v>683981</v>
      </c>
      <c r="FC10" s="546">
        <f t="shared" si="55"/>
        <v>0</v>
      </c>
      <c r="FD10" s="546">
        <f t="shared" si="56"/>
        <v>9630</v>
      </c>
      <c r="FE10" s="546">
        <f t="shared" si="57"/>
        <v>8946.0190000000002</v>
      </c>
      <c r="FF10" s="546">
        <f t="shared" si="58"/>
        <v>8946.0190000000002</v>
      </c>
      <c r="FG10" s="546">
        <f t="shared" si="59"/>
        <v>683.98099999999999</v>
      </c>
      <c r="FJ10" s="547" t="s">
        <v>522</v>
      </c>
      <c r="FK10" s="546">
        <v>184447</v>
      </c>
      <c r="FL10" s="548">
        <f t="shared" si="60"/>
        <v>184.447</v>
      </c>
      <c r="FN10" s="549" t="s">
        <v>521</v>
      </c>
      <c r="FO10" s="550">
        <v>9786439</v>
      </c>
      <c r="FP10" s="550">
        <v>9784901</v>
      </c>
      <c r="FQ10" s="550">
        <v>9784901</v>
      </c>
      <c r="FR10" s="550">
        <f t="shared" si="61"/>
        <v>9786.4390000000003</v>
      </c>
      <c r="FS10" s="550">
        <f t="shared" si="62"/>
        <v>9784.9009999999998</v>
      </c>
      <c r="FT10" s="550">
        <f t="shared" si="63"/>
        <v>9784.9009999999998</v>
      </c>
    </row>
    <row r="11" spans="1:176" ht="15" customHeight="1" x14ac:dyDescent="0.25">
      <c r="A11" s="890" t="s">
        <v>890</v>
      </c>
      <c r="B11" s="544" t="s">
        <v>523</v>
      </c>
      <c r="C11" s="545">
        <v>0</v>
      </c>
      <c r="D11" s="545">
        <v>51980000</v>
      </c>
      <c r="E11" s="545">
        <v>3852323</v>
      </c>
      <c r="F11" s="545">
        <v>48127677</v>
      </c>
      <c r="G11" s="545">
        <v>3852323</v>
      </c>
      <c r="H11" s="546">
        <f t="shared" si="10"/>
        <v>54163.16</v>
      </c>
      <c r="I11" s="546">
        <f t="shared" si="11"/>
        <v>4014.1205660000001</v>
      </c>
      <c r="J11" s="546">
        <f t="shared" si="12"/>
        <v>50149.039434000006</v>
      </c>
      <c r="K11" s="546">
        <f t="shared" si="13"/>
        <v>4014.1205660000001</v>
      </c>
      <c r="O11" s="544" t="s">
        <v>523</v>
      </c>
      <c r="P11" s="545">
        <v>3852323</v>
      </c>
      <c r="Q11" s="546">
        <f t="shared" si="14"/>
        <v>4014.1205660000001</v>
      </c>
      <c r="S11" s="544" t="s">
        <v>523</v>
      </c>
      <c r="T11" s="545">
        <v>51980000</v>
      </c>
      <c r="U11" s="545">
        <v>7704646</v>
      </c>
      <c r="V11" s="545">
        <v>7704646</v>
      </c>
      <c r="W11" s="545">
        <v>44275354</v>
      </c>
      <c r="X11" s="546">
        <f t="shared" si="15"/>
        <v>54163.16</v>
      </c>
      <c r="Y11" s="546">
        <f t="shared" si="16"/>
        <v>8028.2411320000001</v>
      </c>
      <c r="Z11" s="546">
        <f t="shared" si="17"/>
        <v>8028.2411320000001</v>
      </c>
      <c r="AA11" s="546">
        <f t="shared" si="18"/>
        <v>46134.918868000001</v>
      </c>
      <c r="AC11" s="544" t="s">
        <v>523</v>
      </c>
      <c r="AD11" s="545">
        <v>5573318</v>
      </c>
      <c r="AE11" s="546">
        <f t="shared" si="19"/>
        <v>5573.3180000000002</v>
      </c>
      <c r="AG11" s="544" t="s">
        <v>523</v>
      </c>
      <c r="AH11" s="545">
        <v>51980000</v>
      </c>
      <c r="AI11" s="545">
        <v>13277964</v>
      </c>
      <c r="AJ11" s="545">
        <v>13277964</v>
      </c>
      <c r="AK11" s="545">
        <v>38702036</v>
      </c>
      <c r="AL11" s="545">
        <f t="shared" si="20"/>
        <v>51980</v>
      </c>
      <c r="AM11" s="545">
        <f t="shared" si="21"/>
        <v>13277.964</v>
      </c>
      <c r="AN11" s="545">
        <f t="shared" si="22"/>
        <v>13277.964</v>
      </c>
      <c r="AO11" s="545">
        <f t="shared" si="23"/>
        <v>38702.036</v>
      </c>
      <c r="AR11" s="544" t="s">
        <v>523</v>
      </c>
      <c r="AS11" s="545">
        <v>3869143</v>
      </c>
      <c r="AT11" s="545">
        <f t="shared" si="24"/>
        <v>3869.143</v>
      </c>
      <c r="AV11" s="544" t="s">
        <v>523</v>
      </c>
      <c r="AW11" s="545">
        <v>51980000</v>
      </c>
      <c r="AX11" s="545">
        <v>17147107</v>
      </c>
      <c r="AY11" s="545">
        <v>17147107</v>
      </c>
      <c r="AZ11" s="545">
        <v>34832893</v>
      </c>
      <c r="BA11" s="546">
        <f t="shared" si="25"/>
        <v>51980</v>
      </c>
      <c r="BB11" s="546">
        <f t="shared" si="26"/>
        <v>17147.107</v>
      </c>
      <c r="BC11" s="546">
        <f t="shared" si="27"/>
        <v>17147.107</v>
      </c>
      <c r="BD11" s="546">
        <f t="shared" si="28"/>
        <v>34832.892999999996</v>
      </c>
      <c r="BG11" s="544" t="s">
        <v>523</v>
      </c>
      <c r="BH11" s="545">
        <v>3869143</v>
      </c>
      <c r="BI11" s="545">
        <f t="shared" si="29"/>
        <v>3869.143</v>
      </c>
      <c r="BK11" s="544" t="s">
        <v>523</v>
      </c>
      <c r="BL11" s="545">
        <v>51980000</v>
      </c>
      <c r="BM11" s="545">
        <v>21016250</v>
      </c>
      <c r="BN11" s="545">
        <v>21016250</v>
      </c>
      <c r="BO11" s="545">
        <v>30963750</v>
      </c>
      <c r="BP11" s="545">
        <f t="shared" si="30"/>
        <v>51980</v>
      </c>
      <c r="BQ11" s="545">
        <f t="shared" si="31"/>
        <v>21016.25</v>
      </c>
      <c r="BR11" s="545">
        <f t="shared" si="32"/>
        <v>21016.25</v>
      </c>
      <c r="BS11" s="545">
        <f t="shared" si="33"/>
        <v>30963.75</v>
      </c>
      <c r="BV11" s="544" t="s">
        <v>523</v>
      </c>
      <c r="BW11" s="545">
        <v>5590138</v>
      </c>
      <c r="BX11" s="546">
        <f t="shared" si="34"/>
        <v>5590.1379999999999</v>
      </c>
      <c r="BZ11" s="544" t="s">
        <v>523</v>
      </c>
      <c r="CA11" s="545">
        <v>51980000</v>
      </c>
      <c r="CB11" s="545">
        <v>26606388</v>
      </c>
      <c r="CC11" s="545">
        <v>26606388</v>
      </c>
      <c r="CD11" s="545">
        <v>25373612</v>
      </c>
      <c r="CE11" s="545">
        <f t="shared" si="35"/>
        <v>51980</v>
      </c>
      <c r="CF11" s="545">
        <f t="shared" si="36"/>
        <v>26606.387999999999</v>
      </c>
      <c r="CG11" s="545">
        <f t="shared" si="37"/>
        <v>26606.387999999999</v>
      </c>
      <c r="CH11" s="545">
        <f t="shared" si="38"/>
        <v>25373.612000000001</v>
      </c>
      <c r="CK11" s="547" t="s">
        <v>523</v>
      </c>
      <c r="CL11" s="546">
        <v>3867209</v>
      </c>
      <c r="CM11" s="546">
        <f t="shared" si="39"/>
        <v>3867.2089999999998</v>
      </c>
      <c r="CP11" s="547" t="s">
        <v>523</v>
      </c>
      <c r="CQ11" s="546">
        <v>51980000</v>
      </c>
      <c r="CR11" s="546">
        <v>30473597</v>
      </c>
      <c r="CS11" s="546">
        <v>30473597</v>
      </c>
      <c r="CT11" s="546">
        <v>21506403</v>
      </c>
      <c r="CU11" s="546">
        <f t="shared" si="2"/>
        <v>51980</v>
      </c>
      <c r="CV11" s="546">
        <f t="shared" si="3"/>
        <v>30473.597000000002</v>
      </c>
      <c r="CW11" s="546">
        <f t="shared" si="4"/>
        <v>30473.597000000002</v>
      </c>
      <c r="CX11" s="546">
        <f t="shared" si="5"/>
        <v>21506.402999999998</v>
      </c>
      <c r="CZ11" s="547" t="s">
        <v>523</v>
      </c>
      <c r="DA11" s="546">
        <v>3862378</v>
      </c>
      <c r="DB11" s="546">
        <f t="shared" si="40"/>
        <v>3862.3780000000002</v>
      </c>
      <c r="DE11" s="544" t="s">
        <v>523</v>
      </c>
      <c r="DF11" s="545">
        <v>51980000</v>
      </c>
      <c r="DG11" s="545">
        <v>34335975</v>
      </c>
      <c r="DH11" s="545">
        <v>34335975</v>
      </c>
      <c r="DI11" s="545">
        <v>17644025</v>
      </c>
      <c r="DJ11" s="546">
        <f t="shared" si="41"/>
        <v>51980</v>
      </c>
      <c r="DK11" s="546">
        <f t="shared" si="42"/>
        <v>34335.974999999999</v>
      </c>
      <c r="DL11" s="546">
        <f t="shared" si="43"/>
        <v>34335.974999999999</v>
      </c>
      <c r="DM11" s="546">
        <f t="shared" si="44"/>
        <v>17644.025000000001</v>
      </c>
      <c r="DP11" s="544" t="s">
        <v>523</v>
      </c>
      <c r="DQ11" s="545">
        <v>5590138</v>
      </c>
      <c r="DR11" s="546">
        <f t="shared" si="45"/>
        <v>5590.1379999999999</v>
      </c>
      <c r="DT11" s="544" t="s">
        <v>523</v>
      </c>
      <c r="DU11" s="545">
        <v>51980000</v>
      </c>
      <c r="DV11" s="545">
        <v>39926113</v>
      </c>
      <c r="DW11" s="545">
        <v>39926113</v>
      </c>
      <c r="DX11" s="545">
        <v>12053887</v>
      </c>
      <c r="DY11" s="546">
        <f t="shared" si="46"/>
        <v>51980</v>
      </c>
      <c r="DZ11" s="546">
        <f t="shared" si="47"/>
        <v>39926.112999999998</v>
      </c>
      <c r="EA11" s="546">
        <f t="shared" si="48"/>
        <v>39926.112999999998</v>
      </c>
      <c r="EB11" s="546">
        <f t="shared" si="49"/>
        <v>12053.887000000001</v>
      </c>
      <c r="EE11" s="547" t="s">
        <v>522</v>
      </c>
      <c r="EF11" s="546">
        <v>185641</v>
      </c>
      <c r="EG11" s="548">
        <f t="shared" si="50"/>
        <v>185.64099999999999</v>
      </c>
      <c r="EI11" s="547" t="s">
        <v>522</v>
      </c>
      <c r="EJ11" s="546">
        <v>2200000</v>
      </c>
      <c r="EK11" s="546">
        <v>1852909</v>
      </c>
      <c r="EL11" s="546">
        <v>1852909</v>
      </c>
      <c r="EM11" s="548">
        <f t="shared" si="51"/>
        <v>2200</v>
      </c>
      <c r="EN11" s="548">
        <f t="shared" si="52"/>
        <v>1852.9090000000001</v>
      </c>
      <c r="EO11" s="548">
        <f t="shared" si="53"/>
        <v>1852.9090000000001</v>
      </c>
      <c r="ER11" s="544" t="s">
        <v>523</v>
      </c>
      <c r="ES11" s="545">
        <v>3869143</v>
      </c>
      <c r="ET11" s="546">
        <f t="shared" si="54"/>
        <v>3869.143</v>
      </c>
      <c r="EW11" s="544" t="s">
        <v>522</v>
      </c>
      <c r="EX11" s="545">
        <v>0</v>
      </c>
      <c r="EY11" s="545">
        <v>2200000</v>
      </c>
      <c r="EZ11" s="545">
        <v>2038894</v>
      </c>
      <c r="FA11" s="545">
        <v>2038894</v>
      </c>
      <c r="FB11" s="545">
        <v>161106</v>
      </c>
      <c r="FC11" s="546">
        <f t="shared" si="55"/>
        <v>0</v>
      </c>
      <c r="FD11" s="546">
        <f t="shared" si="56"/>
        <v>2200</v>
      </c>
      <c r="FE11" s="546">
        <f t="shared" si="57"/>
        <v>2038.894</v>
      </c>
      <c r="FF11" s="546">
        <f t="shared" si="58"/>
        <v>2038.894</v>
      </c>
      <c r="FG11" s="546">
        <f t="shared" si="59"/>
        <v>161.10599999999999</v>
      </c>
      <c r="FJ11" s="547" t="s">
        <v>523</v>
      </c>
      <c r="FK11" s="546">
        <v>5588600</v>
      </c>
      <c r="FL11" s="548">
        <f t="shared" si="60"/>
        <v>5588.6</v>
      </c>
      <c r="FN11" s="549" t="s">
        <v>522</v>
      </c>
      <c r="FO11" s="550">
        <v>2224879</v>
      </c>
      <c r="FP11" s="550">
        <v>2223341</v>
      </c>
      <c r="FQ11" s="550">
        <v>2223341</v>
      </c>
      <c r="FR11" s="550">
        <f t="shared" si="61"/>
        <v>2224.8789999999999</v>
      </c>
      <c r="FS11" s="550">
        <f t="shared" si="62"/>
        <v>2223.3409999999999</v>
      </c>
      <c r="FT11" s="550">
        <f t="shared" si="63"/>
        <v>2223.3409999999999</v>
      </c>
    </row>
    <row r="12" spans="1:176" ht="15" customHeight="1" x14ac:dyDescent="0.25">
      <c r="A12" s="890" t="s">
        <v>890</v>
      </c>
      <c r="B12" s="544" t="s">
        <v>524</v>
      </c>
      <c r="C12" s="545">
        <v>0</v>
      </c>
      <c r="D12" s="545">
        <v>79670000</v>
      </c>
      <c r="E12" s="545">
        <v>6970894</v>
      </c>
      <c r="F12" s="545">
        <v>72699106</v>
      </c>
      <c r="G12" s="545">
        <v>6970894</v>
      </c>
      <c r="H12" s="546">
        <f t="shared" si="10"/>
        <v>83016.14</v>
      </c>
      <c r="I12" s="546">
        <f t="shared" si="11"/>
        <v>7263.6715480000003</v>
      </c>
      <c r="J12" s="546">
        <f t="shared" si="12"/>
        <v>75752.468452000001</v>
      </c>
      <c r="K12" s="546">
        <f t="shared" si="13"/>
        <v>7263.6715480000003</v>
      </c>
      <c r="O12" s="544" t="s">
        <v>524</v>
      </c>
      <c r="P12" s="545">
        <v>6966818</v>
      </c>
      <c r="Q12" s="546">
        <f t="shared" si="14"/>
        <v>7259.4243560000004</v>
      </c>
      <c r="S12" s="544" t="s">
        <v>524</v>
      </c>
      <c r="T12" s="545">
        <v>79670000</v>
      </c>
      <c r="U12" s="545">
        <v>13937712</v>
      </c>
      <c r="V12" s="545">
        <v>13937712</v>
      </c>
      <c r="W12" s="545">
        <v>65732288</v>
      </c>
      <c r="X12" s="546">
        <f t="shared" si="15"/>
        <v>83016.14</v>
      </c>
      <c r="Y12" s="546">
        <f t="shared" si="16"/>
        <v>14523.095904</v>
      </c>
      <c r="Z12" s="546">
        <f t="shared" si="17"/>
        <v>14523.095904</v>
      </c>
      <c r="AA12" s="546">
        <f t="shared" si="18"/>
        <v>68493.044095999998</v>
      </c>
      <c r="AC12" s="544" t="s">
        <v>524</v>
      </c>
      <c r="AD12" s="545">
        <v>7796072</v>
      </c>
      <c r="AE12" s="546">
        <f t="shared" si="19"/>
        <v>7796.0720000000001</v>
      </c>
      <c r="AG12" s="544" t="s">
        <v>524</v>
      </c>
      <c r="AH12" s="545">
        <v>79670000</v>
      </c>
      <c r="AI12" s="545">
        <v>21733784</v>
      </c>
      <c r="AJ12" s="545">
        <v>21733784</v>
      </c>
      <c r="AK12" s="545">
        <v>57936216</v>
      </c>
      <c r="AL12" s="545">
        <f t="shared" si="20"/>
        <v>79670</v>
      </c>
      <c r="AM12" s="545">
        <f t="shared" si="21"/>
        <v>21733.784</v>
      </c>
      <c r="AN12" s="545">
        <f t="shared" si="22"/>
        <v>21733.784</v>
      </c>
      <c r="AO12" s="545">
        <f t="shared" si="23"/>
        <v>57936.216</v>
      </c>
      <c r="AR12" s="544" t="s">
        <v>524</v>
      </c>
      <c r="AS12" s="545">
        <v>6972319</v>
      </c>
      <c r="AT12" s="545">
        <f t="shared" si="24"/>
        <v>6972.3190000000004</v>
      </c>
      <c r="AV12" s="544" t="s">
        <v>524</v>
      </c>
      <c r="AW12" s="545">
        <v>79670000</v>
      </c>
      <c r="AX12" s="545">
        <v>28706103</v>
      </c>
      <c r="AY12" s="545">
        <v>28706103</v>
      </c>
      <c r="AZ12" s="545">
        <v>50963897</v>
      </c>
      <c r="BA12" s="546">
        <f t="shared" si="25"/>
        <v>79670</v>
      </c>
      <c r="BB12" s="546">
        <f t="shared" si="26"/>
        <v>28706.102999999999</v>
      </c>
      <c r="BC12" s="546">
        <f t="shared" si="27"/>
        <v>28706.102999999999</v>
      </c>
      <c r="BD12" s="546">
        <f t="shared" si="28"/>
        <v>50963.896999999997</v>
      </c>
      <c r="BG12" s="544" t="s">
        <v>524</v>
      </c>
      <c r="BH12" s="545">
        <v>6397161</v>
      </c>
      <c r="BI12" s="545">
        <f t="shared" si="29"/>
        <v>6397.1610000000001</v>
      </c>
      <c r="BK12" s="544" t="s">
        <v>524</v>
      </c>
      <c r="BL12" s="545">
        <v>79670000</v>
      </c>
      <c r="BM12" s="545">
        <v>35103264</v>
      </c>
      <c r="BN12" s="545">
        <v>35103264</v>
      </c>
      <c r="BO12" s="545">
        <v>44566736</v>
      </c>
      <c r="BP12" s="545">
        <f t="shared" si="30"/>
        <v>79670</v>
      </c>
      <c r="BQ12" s="545">
        <f t="shared" si="31"/>
        <v>35103.264000000003</v>
      </c>
      <c r="BR12" s="545">
        <f t="shared" si="32"/>
        <v>35103.264000000003</v>
      </c>
      <c r="BS12" s="545">
        <f t="shared" si="33"/>
        <v>44566.735999999997</v>
      </c>
      <c r="BV12" s="544" t="s">
        <v>524</v>
      </c>
      <c r="BW12" s="545">
        <v>7273082</v>
      </c>
      <c r="BX12" s="546">
        <f t="shared" si="34"/>
        <v>7273.0820000000003</v>
      </c>
      <c r="BZ12" s="544" t="s">
        <v>524</v>
      </c>
      <c r="CA12" s="545">
        <v>79670000</v>
      </c>
      <c r="CB12" s="545">
        <v>42376346</v>
      </c>
      <c r="CC12" s="545">
        <v>42376346</v>
      </c>
      <c r="CD12" s="545">
        <v>37293654</v>
      </c>
      <c r="CE12" s="545">
        <f t="shared" si="35"/>
        <v>79670</v>
      </c>
      <c r="CF12" s="545">
        <f t="shared" si="36"/>
        <v>42376.345999999998</v>
      </c>
      <c r="CG12" s="545">
        <f t="shared" si="37"/>
        <v>42376.345999999998</v>
      </c>
      <c r="CH12" s="545">
        <f t="shared" si="38"/>
        <v>37293.654000000002</v>
      </c>
      <c r="CK12" s="547" t="s">
        <v>524</v>
      </c>
      <c r="CL12" s="546">
        <v>5715228</v>
      </c>
      <c r="CM12" s="546">
        <f t="shared" si="39"/>
        <v>5715.2280000000001</v>
      </c>
      <c r="CP12" s="547" t="s">
        <v>524</v>
      </c>
      <c r="CQ12" s="546">
        <v>79670000</v>
      </c>
      <c r="CR12" s="546">
        <v>48091574</v>
      </c>
      <c r="CS12" s="546">
        <v>48091574</v>
      </c>
      <c r="CT12" s="546">
        <v>31578426</v>
      </c>
      <c r="CU12" s="546">
        <f t="shared" si="2"/>
        <v>79670</v>
      </c>
      <c r="CV12" s="546">
        <f t="shared" si="3"/>
        <v>48091.574000000001</v>
      </c>
      <c r="CW12" s="546">
        <f t="shared" si="4"/>
        <v>48091.574000000001</v>
      </c>
      <c r="CX12" s="546">
        <f t="shared" si="5"/>
        <v>31578.425999999999</v>
      </c>
      <c r="CZ12" s="547" t="s">
        <v>524</v>
      </c>
      <c r="DA12" s="546">
        <v>5710398</v>
      </c>
      <c r="DB12" s="546">
        <f t="shared" si="40"/>
        <v>5710.3980000000001</v>
      </c>
      <c r="DE12" s="544" t="s">
        <v>524</v>
      </c>
      <c r="DF12" s="545">
        <v>79670000</v>
      </c>
      <c r="DG12" s="545">
        <v>53801972</v>
      </c>
      <c r="DH12" s="545">
        <v>53801972</v>
      </c>
      <c r="DI12" s="545">
        <v>25868028</v>
      </c>
      <c r="DJ12" s="546">
        <f t="shared" si="41"/>
        <v>79670</v>
      </c>
      <c r="DK12" s="546">
        <f t="shared" si="42"/>
        <v>53801.972000000002</v>
      </c>
      <c r="DL12" s="546">
        <f t="shared" si="43"/>
        <v>53801.972000000002</v>
      </c>
      <c r="DM12" s="546">
        <f t="shared" si="44"/>
        <v>25868.027999999998</v>
      </c>
      <c r="DP12" s="544" t="s">
        <v>524</v>
      </c>
      <c r="DQ12" s="545">
        <v>6402717</v>
      </c>
      <c r="DR12" s="546">
        <f t="shared" si="45"/>
        <v>6402.7169999999996</v>
      </c>
      <c r="DT12" s="544" t="s">
        <v>524</v>
      </c>
      <c r="DU12" s="545">
        <v>79670000</v>
      </c>
      <c r="DV12" s="545">
        <v>60204689</v>
      </c>
      <c r="DW12" s="545">
        <v>60204689</v>
      </c>
      <c r="DX12" s="545">
        <v>19465311</v>
      </c>
      <c r="DY12" s="546">
        <f t="shared" si="46"/>
        <v>79670</v>
      </c>
      <c r="DZ12" s="546">
        <f t="shared" si="47"/>
        <v>60204.688999999998</v>
      </c>
      <c r="EA12" s="546">
        <f t="shared" si="48"/>
        <v>60204.688999999998</v>
      </c>
      <c r="EB12" s="546">
        <f t="shared" si="49"/>
        <v>19465.311000000002</v>
      </c>
      <c r="EE12" s="547" t="s">
        <v>523</v>
      </c>
      <c r="EF12" s="546">
        <v>3868798</v>
      </c>
      <c r="EG12" s="548">
        <f t="shared" si="50"/>
        <v>3868.7979999999998</v>
      </c>
      <c r="EI12" s="547" t="s">
        <v>523</v>
      </c>
      <c r="EJ12" s="546">
        <v>51980000</v>
      </c>
      <c r="EK12" s="546">
        <v>43794911</v>
      </c>
      <c r="EL12" s="546">
        <v>43794911</v>
      </c>
      <c r="EM12" s="548">
        <f t="shared" si="51"/>
        <v>51980</v>
      </c>
      <c r="EN12" s="548">
        <f t="shared" si="52"/>
        <v>43794.911</v>
      </c>
      <c r="EO12" s="548">
        <f t="shared" si="53"/>
        <v>43794.911</v>
      </c>
      <c r="ER12" s="544" t="s">
        <v>524</v>
      </c>
      <c r="ES12" s="545">
        <v>5719221</v>
      </c>
      <c r="ET12" s="546">
        <f t="shared" si="54"/>
        <v>5719.2209999999995</v>
      </c>
      <c r="EW12" s="544" t="s">
        <v>523</v>
      </c>
      <c r="EX12" s="545">
        <v>0</v>
      </c>
      <c r="EY12" s="545">
        <v>51980000</v>
      </c>
      <c r="EZ12" s="545">
        <v>47664054</v>
      </c>
      <c r="FA12" s="545">
        <v>47664054</v>
      </c>
      <c r="FB12" s="545">
        <v>4315946</v>
      </c>
      <c r="FC12" s="546">
        <f t="shared" si="55"/>
        <v>0</v>
      </c>
      <c r="FD12" s="546">
        <f t="shared" si="56"/>
        <v>51980</v>
      </c>
      <c r="FE12" s="546">
        <f t="shared" si="57"/>
        <v>47664.053999999996</v>
      </c>
      <c r="FF12" s="546">
        <f t="shared" si="58"/>
        <v>47664.053999999996</v>
      </c>
      <c r="FG12" s="546">
        <f t="shared" si="59"/>
        <v>4315.9459999999999</v>
      </c>
      <c r="FJ12" s="547" t="s">
        <v>524</v>
      </c>
      <c r="FK12" s="546">
        <v>6592875</v>
      </c>
      <c r="FL12" s="548">
        <f t="shared" si="60"/>
        <v>6592.875</v>
      </c>
      <c r="FN12" s="549" t="s">
        <v>523</v>
      </c>
      <c r="FO12" s="550">
        <v>53254192</v>
      </c>
      <c r="FP12" s="550">
        <v>53252654</v>
      </c>
      <c r="FQ12" s="550">
        <v>53252654</v>
      </c>
      <c r="FR12" s="550">
        <f t="shared" si="61"/>
        <v>53254.192000000003</v>
      </c>
      <c r="FS12" s="550">
        <f t="shared" si="62"/>
        <v>53252.654000000002</v>
      </c>
      <c r="FT12" s="550">
        <f t="shared" si="63"/>
        <v>53252.654000000002</v>
      </c>
    </row>
    <row r="13" spans="1:176" ht="15" customHeight="1" x14ac:dyDescent="0.25">
      <c r="A13" s="890" t="s">
        <v>890</v>
      </c>
      <c r="B13" s="544" t="s">
        <v>525</v>
      </c>
      <c r="C13" s="545">
        <v>0</v>
      </c>
      <c r="D13" s="545">
        <v>195840000</v>
      </c>
      <c r="E13" s="545">
        <v>17770876</v>
      </c>
      <c r="F13" s="545">
        <v>178069124</v>
      </c>
      <c r="G13" s="545">
        <v>17770876</v>
      </c>
      <c r="H13" s="546">
        <f t="shared" si="10"/>
        <v>204065.28</v>
      </c>
      <c r="I13" s="546">
        <f t="shared" si="11"/>
        <v>18517.252791999999</v>
      </c>
      <c r="J13" s="546">
        <f t="shared" si="12"/>
        <v>185548.02720800001</v>
      </c>
      <c r="K13" s="546">
        <f t="shared" si="13"/>
        <v>18517.252791999999</v>
      </c>
      <c r="O13" s="544" t="s">
        <v>525</v>
      </c>
      <c r="P13" s="545">
        <v>17770876</v>
      </c>
      <c r="Q13" s="546">
        <f t="shared" si="14"/>
        <v>18517.252791999999</v>
      </c>
      <c r="S13" s="544" t="s">
        <v>525</v>
      </c>
      <c r="T13" s="545">
        <v>195840000</v>
      </c>
      <c r="U13" s="545">
        <v>35541752</v>
      </c>
      <c r="V13" s="545">
        <v>35541752</v>
      </c>
      <c r="W13" s="545">
        <v>160298248</v>
      </c>
      <c r="X13" s="546">
        <f t="shared" si="15"/>
        <v>204065.28</v>
      </c>
      <c r="Y13" s="546">
        <f t="shared" si="16"/>
        <v>37034.505583999999</v>
      </c>
      <c r="Z13" s="546">
        <f t="shared" si="17"/>
        <v>37034.505583999999</v>
      </c>
      <c r="AA13" s="546">
        <f t="shared" si="18"/>
        <v>167030.774416</v>
      </c>
      <c r="AC13" s="544" t="s">
        <v>525</v>
      </c>
      <c r="AD13" s="545">
        <v>17770876</v>
      </c>
      <c r="AE13" s="546">
        <f t="shared" si="19"/>
        <v>17770.876</v>
      </c>
      <c r="AG13" s="544" t="s">
        <v>525</v>
      </c>
      <c r="AH13" s="545">
        <v>195840000</v>
      </c>
      <c r="AI13" s="545">
        <v>53312628</v>
      </c>
      <c r="AJ13" s="545">
        <v>53312628</v>
      </c>
      <c r="AK13" s="545">
        <v>142527372</v>
      </c>
      <c r="AL13" s="545">
        <f t="shared" si="20"/>
        <v>195840</v>
      </c>
      <c r="AM13" s="545">
        <f t="shared" si="21"/>
        <v>53312.627999999997</v>
      </c>
      <c r="AN13" s="545">
        <f t="shared" si="22"/>
        <v>53312.627999999997</v>
      </c>
      <c r="AO13" s="545">
        <f t="shared" si="23"/>
        <v>142527.372</v>
      </c>
      <c r="AR13" s="544" t="s">
        <v>525</v>
      </c>
      <c r="AS13" s="545">
        <v>17770876</v>
      </c>
      <c r="AT13" s="545">
        <f t="shared" si="24"/>
        <v>17770.876</v>
      </c>
      <c r="AV13" s="544" t="s">
        <v>525</v>
      </c>
      <c r="AW13" s="545">
        <v>195840000</v>
      </c>
      <c r="AX13" s="545">
        <v>71083504</v>
      </c>
      <c r="AY13" s="545">
        <v>71083504</v>
      </c>
      <c r="AZ13" s="545">
        <v>124756496</v>
      </c>
      <c r="BA13" s="546">
        <f t="shared" si="25"/>
        <v>195840</v>
      </c>
      <c r="BB13" s="546">
        <f t="shared" si="26"/>
        <v>71083.504000000001</v>
      </c>
      <c r="BC13" s="546">
        <f t="shared" si="27"/>
        <v>71083.504000000001</v>
      </c>
      <c r="BD13" s="546">
        <f t="shared" si="28"/>
        <v>124756.496</v>
      </c>
      <c r="BG13" s="544" t="s">
        <v>525</v>
      </c>
      <c r="BH13" s="545">
        <v>16478164</v>
      </c>
      <c r="BI13" s="545">
        <f t="shared" si="29"/>
        <v>16478.164000000001</v>
      </c>
      <c r="BK13" s="544" t="s">
        <v>525</v>
      </c>
      <c r="BL13" s="545">
        <v>195840000</v>
      </c>
      <c r="BM13" s="545">
        <v>87561668</v>
      </c>
      <c r="BN13" s="545">
        <v>87561668</v>
      </c>
      <c r="BO13" s="545">
        <v>108278332</v>
      </c>
      <c r="BP13" s="545">
        <f t="shared" si="30"/>
        <v>195840</v>
      </c>
      <c r="BQ13" s="545">
        <f t="shared" si="31"/>
        <v>87561.668000000005</v>
      </c>
      <c r="BR13" s="545">
        <f t="shared" si="32"/>
        <v>87561.668000000005</v>
      </c>
      <c r="BS13" s="545">
        <f t="shared" si="33"/>
        <v>108278.33199999999</v>
      </c>
      <c r="BV13" s="544" t="s">
        <v>525</v>
      </c>
      <c r="BW13" s="545">
        <v>16552856</v>
      </c>
      <c r="BX13" s="546">
        <f t="shared" si="34"/>
        <v>16552.856</v>
      </c>
      <c r="BZ13" s="544" t="s">
        <v>525</v>
      </c>
      <c r="CA13" s="545">
        <v>195840000</v>
      </c>
      <c r="CB13" s="545">
        <v>104114524</v>
      </c>
      <c r="CC13" s="545">
        <v>104114524</v>
      </c>
      <c r="CD13" s="545">
        <v>91725476</v>
      </c>
      <c r="CE13" s="545">
        <f t="shared" si="35"/>
        <v>195840</v>
      </c>
      <c r="CF13" s="545">
        <f t="shared" si="36"/>
        <v>104114.524</v>
      </c>
      <c r="CG13" s="545">
        <f t="shared" si="37"/>
        <v>104114.524</v>
      </c>
      <c r="CH13" s="545">
        <f t="shared" si="38"/>
        <v>91725.475999999995</v>
      </c>
      <c r="CK13" s="547" t="s">
        <v>525</v>
      </c>
      <c r="CL13" s="546">
        <v>14842731</v>
      </c>
      <c r="CM13" s="546">
        <f t="shared" si="39"/>
        <v>14842.731</v>
      </c>
      <c r="CP13" s="547" t="s">
        <v>525</v>
      </c>
      <c r="CQ13" s="546">
        <v>195840000</v>
      </c>
      <c r="CR13" s="546">
        <v>118957255</v>
      </c>
      <c r="CS13" s="546">
        <v>118957255</v>
      </c>
      <c r="CT13" s="546">
        <v>76882745</v>
      </c>
      <c r="CU13" s="546">
        <f t="shared" si="2"/>
        <v>195840</v>
      </c>
      <c r="CV13" s="546">
        <f t="shared" si="3"/>
        <v>118957.255</v>
      </c>
      <c r="CW13" s="546">
        <f t="shared" si="4"/>
        <v>118957.255</v>
      </c>
      <c r="CX13" s="546">
        <f t="shared" si="5"/>
        <v>76882.744999999995</v>
      </c>
      <c r="CZ13" s="547" t="s">
        <v>525</v>
      </c>
      <c r="DA13" s="546">
        <v>14837901</v>
      </c>
      <c r="DB13" s="546">
        <f t="shared" si="40"/>
        <v>14837.901</v>
      </c>
      <c r="DE13" s="544" t="s">
        <v>525</v>
      </c>
      <c r="DF13" s="545">
        <v>195840000</v>
      </c>
      <c r="DG13" s="545">
        <v>133795156</v>
      </c>
      <c r="DH13" s="545">
        <v>133795156</v>
      </c>
      <c r="DI13" s="545">
        <v>62044844</v>
      </c>
      <c r="DJ13" s="546">
        <f t="shared" si="41"/>
        <v>195840</v>
      </c>
      <c r="DK13" s="546">
        <f t="shared" si="42"/>
        <v>133795.15599999999</v>
      </c>
      <c r="DL13" s="546">
        <f t="shared" si="43"/>
        <v>133795.15599999999</v>
      </c>
      <c r="DM13" s="546">
        <f t="shared" si="44"/>
        <v>62044.843999999997</v>
      </c>
      <c r="DP13" s="544" t="s">
        <v>525</v>
      </c>
      <c r="DQ13" s="545">
        <v>14844666</v>
      </c>
      <c r="DR13" s="546">
        <f t="shared" si="45"/>
        <v>14844.665999999999</v>
      </c>
      <c r="DT13" s="544" t="s">
        <v>525</v>
      </c>
      <c r="DU13" s="545">
        <v>195840000</v>
      </c>
      <c r="DV13" s="545">
        <v>148639822</v>
      </c>
      <c r="DW13" s="545">
        <v>148639822</v>
      </c>
      <c r="DX13" s="545">
        <v>47200178</v>
      </c>
      <c r="DY13" s="546">
        <f t="shared" si="46"/>
        <v>195840</v>
      </c>
      <c r="DZ13" s="546">
        <f t="shared" si="47"/>
        <v>148639.82199999999</v>
      </c>
      <c r="EA13" s="546">
        <f t="shared" si="48"/>
        <v>148639.82199999999</v>
      </c>
      <c r="EB13" s="546">
        <f t="shared" si="49"/>
        <v>47200.178</v>
      </c>
      <c r="EE13" s="547" t="s">
        <v>524</v>
      </c>
      <c r="EF13" s="546">
        <v>5718876</v>
      </c>
      <c r="EG13" s="548">
        <f t="shared" si="50"/>
        <v>5718.8760000000002</v>
      </c>
      <c r="EI13" s="547" t="s">
        <v>524</v>
      </c>
      <c r="EJ13" s="546">
        <v>79670000</v>
      </c>
      <c r="EK13" s="546">
        <v>65923565</v>
      </c>
      <c r="EL13" s="546">
        <v>65923565</v>
      </c>
      <c r="EM13" s="548">
        <f t="shared" si="51"/>
        <v>79670</v>
      </c>
      <c r="EN13" s="548">
        <f t="shared" si="52"/>
        <v>65923.565000000002</v>
      </c>
      <c r="EO13" s="548">
        <f t="shared" si="53"/>
        <v>65923.565000000002</v>
      </c>
      <c r="ER13" s="544" t="s">
        <v>525</v>
      </c>
      <c r="ES13" s="545">
        <v>14844666</v>
      </c>
      <c r="ET13" s="546">
        <f t="shared" si="54"/>
        <v>14844.665999999999</v>
      </c>
      <c r="EW13" s="544" t="s">
        <v>524</v>
      </c>
      <c r="EX13" s="545">
        <v>0</v>
      </c>
      <c r="EY13" s="545">
        <v>79670000</v>
      </c>
      <c r="EZ13" s="545">
        <v>71642786</v>
      </c>
      <c r="FA13" s="545">
        <v>71642786</v>
      </c>
      <c r="FB13" s="545">
        <v>8027214</v>
      </c>
      <c r="FC13" s="546">
        <f t="shared" si="55"/>
        <v>0</v>
      </c>
      <c r="FD13" s="546">
        <f t="shared" si="56"/>
        <v>79670</v>
      </c>
      <c r="FE13" s="546">
        <f t="shared" si="57"/>
        <v>71642.785999999993</v>
      </c>
      <c r="FF13" s="546">
        <f t="shared" si="58"/>
        <v>71642.785999999993</v>
      </c>
      <c r="FG13" s="546">
        <f t="shared" si="59"/>
        <v>8027.2139999999999</v>
      </c>
      <c r="FJ13" s="547" t="s">
        <v>525</v>
      </c>
      <c r="FK13" s="546">
        <v>15242270</v>
      </c>
      <c r="FL13" s="548">
        <f t="shared" si="60"/>
        <v>15242.27</v>
      </c>
      <c r="FN13" s="549" t="s">
        <v>524</v>
      </c>
      <c r="FO13" s="550">
        <v>78237199</v>
      </c>
      <c r="FP13" s="550">
        <v>78235661</v>
      </c>
      <c r="FQ13" s="550">
        <v>78235661</v>
      </c>
      <c r="FR13" s="550">
        <f t="shared" si="61"/>
        <v>78237.198999999993</v>
      </c>
      <c r="FS13" s="550">
        <f t="shared" si="62"/>
        <v>78235.660999999993</v>
      </c>
      <c r="FT13" s="550">
        <f t="shared" si="63"/>
        <v>78235.660999999993</v>
      </c>
    </row>
    <row r="14" spans="1:176" ht="15" customHeight="1" x14ac:dyDescent="0.25">
      <c r="A14" s="890" t="s">
        <v>890</v>
      </c>
      <c r="B14" s="544" t="s">
        <v>526</v>
      </c>
      <c r="C14" s="545">
        <v>0</v>
      </c>
      <c r="D14" s="545">
        <v>63130000</v>
      </c>
      <c r="E14" s="545">
        <v>0</v>
      </c>
      <c r="F14" s="545">
        <v>63130000</v>
      </c>
      <c r="G14" s="545">
        <v>0</v>
      </c>
      <c r="H14" s="546">
        <f t="shared" si="10"/>
        <v>65781.460000000006</v>
      </c>
      <c r="I14" s="546">
        <f t="shared" si="11"/>
        <v>0</v>
      </c>
      <c r="J14" s="546">
        <f t="shared" si="12"/>
        <v>65781.460000000006</v>
      </c>
      <c r="K14" s="546">
        <f t="shared" si="13"/>
        <v>0</v>
      </c>
      <c r="O14" s="544" t="s">
        <v>527</v>
      </c>
      <c r="P14" s="545">
        <v>998169</v>
      </c>
      <c r="Q14" s="546">
        <f t="shared" si="14"/>
        <v>1040.0920980000001</v>
      </c>
      <c r="S14" s="544" t="s">
        <v>526</v>
      </c>
      <c r="T14" s="545">
        <v>63130000</v>
      </c>
      <c r="U14" s="545">
        <v>0</v>
      </c>
      <c r="V14" s="545">
        <v>0</v>
      </c>
      <c r="W14" s="545">
        <v>63130000</v>
      </c>
      <c r="X14" s="546">
        <f t="shared" si="15"/>
        <v>65781.460000000006</v>
      </c>
      <c r="Y14" s="546">
        <f t="shared" si="16"/>
        <v>0</v>
      </c>
      <c r="Z14" s="546">
        <f t="shared" si="17"/>
        <v>0</v>
      </c>
      <c r="AA14" s="546">
        <f t="shared" si="18"/>
        <v>65781.460000000006</v>
      </c>
      <c r="AC14" s="544" t="s">
        <v>526</v>
      </c>
      <c r="AD14" s="545">
        <v>17169084</v>
      </c>
      <c r="AE14" s="546">
        <f t="shared" si="19"/>
        <v>17169.083999999999</v>
      </c>
      <c r="AG14" s="544" t="s">
        <v>526</v>
      </c>
      <c r="AH14" s="545">
        <v>63130000</v>
      </c>
      <c r="AI14" s="545">
        <v>17169084</v>
      </c>
      <c r="AJ14" s="545">
        <v>17169084</v>
      </c>
      <c r="AK14" s="545">
        <v>45960916</v>
      </c>
      <c r="AL14" s="545">
        <f t="shared" si="20"/>
        <v>63130</v>
      </c>
      <c r="AM14" s="545">
        <f t="shared" si="21"/>
        <v>17169.083999999999</v>
      </c>
      <c r="AN14" s="545">
        <f t="shared" si="22"/>
        <v>17169.083999999999</v>
      </c>
      <c r="AO14" s="545">
        <f t="shared" si="23"/>
        <v>45960.915999999997</v>
      </c>
      <c r="AR14" s="544" t="s">
        <v>527</v>
      </c>
      <c r="AS14" s="545">
        <v>998169</v>
      </c>
      <c r="AT14" s="545">
        <f t="shared" si="24"/>
        <v>998.16899999999998</v>
      </c>
      <c r="AV14" s="544" t="s">
        <v>526</v>
      </c>
      <c r="AW14" s="545">
        <v>63130000</v>
      </c>
      <c r="AX14" s="545">
        <v>17169084</v>
      </c>
      <c r="AY14" s="545">
        <v>17169084</v>
      </c>
      <c r="AZ14" s="545">
        <v>45960916</v>
      </c>
      <c r="BA14" s="546">
        <f t="shared" si="25"/>
        <v>63130</v>
      </c>
      <c r="BB14" s="546">
        <f t="shared" si="26"/>
        <v>17169.083999999999</v>
      </c>
      <c r="BC14" s="546">
        <f t="shared" si="27"/>
        <v>17169.083999999999</v>
      </c>
      <c r="BD14" s="546">
        <f t="shared" si="28"/>
        <v>45960.915999999997</v>
      </c>
      <c r="BG14" s="544" t="s">
        <v>527</v>
      </c>
      <c r="BH14" s="545">
        <v>998169</v>
      </c>
      <c r="BI14" s="545">
        <f t="shared" si="29"/>
        <v>998.16899999999998</v>
      </c>
      <c r="BK14" s="544" t="s">
        <v>526</v>
      </c>
      <c r="BL14" s="545">
        <v>63130000</v>
      </c>
      <c r="BM14" s="545">
        <v>17169084</v>
      </c>
      <c r="BN14" s="545">
        <v>17169084</v>
      </c>
      <c r="BO14" s="545">
        <v>45960916</v>
      </c>
      <c r="BP14" s="545">
        <f t="shared" si="30"/>
        <v>63130</v>
      </c>
      <c r="BQ14" s="545">
        <f t="shared" si="31"/>
        <v>17169.083999999999</v>
      </c>
      <c r="BR14" s="545">
        <f t="shared" si="32"/>
        <v>17169.083999999999</v>
      </c>
      <c r="BS14" s="545">
        <f t="shared" si="33"/>
        <v>45960.915999999997</v>
      </c>
      <c r="BV14" s="544" t="s">
        <v>526</v>
      </c>
      <c r="BW14" s="545">
        <v>16388331</v>
      </c>
      <c r="BX14" s="546">
        <f t="shared" si="34"/>
        <v>16388.330999999998</v>
      </c>
      <c r="BZ14" s="544" t="s">
        <v>526</v>
      </c>
      <c r="CA14" s="545">
        <v>63130000</v>
      </c>
      <c r="CB14" s="545">
        <v>33557415</v>
      </c>
      <c r="CC14" s="545">
        <v>33557415</v>
      </c>
      <c r="CD14" s="545">
        <v>29572585</v>
      </c>
      <c r="CE14" s="545">
        <f t="shared" si="35"/>
        <v>63130</v>
      </c>
      <c r="CF14" s="545">
        <f t="shared" si="36"/>
        <v>33557.415000000001</v>
      </c>
      <c r="CG14" s="545">
        <f t="shared" si="37"/>
        <v>33557.415000000001</v>
      </c>
      <c r="CH14" s="545">
        <f t="shared" si="38"/>
        <v>29572.584999999999</v>
      </c>
      <c r="CK14" s="547" t="s">
        <v>526</v>
      </c>
      <c r="CL14" s="546">
        <v>-1935</v>
      </c>
      <c r="CM14" s="546">
        <f t="shared" si="39"/>
        <v>-1.9350000000000001</v>
      </c>
      <c r="CP14" s="547" t="s">
        <v>526</v>
      </c>
      <c r="CQ14" s="546">
        <v>63130000</v>
      </c>
      <c r="CR14" s="546">
        <v>33555480</v>
      </c>
      <c r="CS14" s="546">
        <v>33555480</v>
      </c>
      <c r="CT14" s="546">
        <v>29574520</v>
      </c>
      <c r="CU14" s="546">
        <f t="shared" si="2"/>
        <v>63130</v>
      </c>
      <c r="CV14" s="546">
        <f t="shared" si="3"/>
        <v>33555.480000000003</v>
      </c>
      <c r="CW14" s="546">
        <f t="shared" si="4"/>
        <v>33555.480000000003</v>
      </c>
      <c r="CX14" s="546">
        <f t="shared" si="5"/>
        <v>29574.52</v>
      </c>
      <c r="CZ14" s="547" t="s">
        <v>526</v>
      </c>
      <c r="DA14" s="546">
        <v>-6765</v>
      </c>
      <c r="DB14" s="546">
        <f t="shared" si="40"/>
        <v>-6.7649999999999997</v>
      </c>
      <c r="DE14" s="544" t="s">
        <v>526</v>
      </c>
      <c r="DF14" s="545">
        <v>63130000</v>
      </c>
      <c r="DG14" s="545">
        <v>33548715</v>
      </c>
      <c r="DH14" s="545">
        <v>33548715</v>
      </c>
      <c r="DI14" s="545">
        <v>29581285</v>
      </c>
      <c r="DJ14" s="546">
        <f t="shared" si="41"/>
        <v>63130</v>
      </c>
      <c r="DK14" s="546">
        <f t="shared" si="42"/>
        <v>33548.714999999997</v>
      </c>
      <c r="DL14" s="546">
        <f t="shared" si="43"/>
        <v>33548.714999999997</v>
      </c>
      <c r="DM14" s="546">
        <f t="shared" si="44"/>
        <v>29581.285</v>
      </c>
      <c r="DP14" s="544" t="s">
        <v>526</v>
      </c>
      <c r="DQ14" s="545">
        <v>14401293</v>
      </c>
      <c r="DR14" s="546">
        <f t="shared" si="45"/>
        <v>14401.293</v>
      </c>
      <c r="DT14" s="544" t="s">
        <v>526</v>
      </c>
      <c r="DU14" s="545">
        <v>63130000</v>
      </c>
      <c r="DV14" s="545">
        <v>47950008</v>
      </c>
      <c r="DW14" s="545">
        <v>47950008</v>
      </c>
      <c r="DX14" s="545">
        <v>15179992</v>
      </c>
      <c r="DY14" s="546">
        <f t="shared" si="46"/>
        <v>63130</v>
      </c>
      <c r="DZ14" s="546">
        <f t="shared" si="47"/>
        <v>47950.008000000002</v>
      </c>
      <c r="EA14" s="546">
        <f t="shared" si="48"/>
        <v>47950.008000000002</v>
      </c>
      <c r="EB14" s="546">
        <f t="shared" si="49"/>
        <v>15179.992</v>
      </c>
      <c r="EE14" s="547" t="s">
        <v>525</v>
      </c>
      <c r="EF14" s="546">
        <v>14844321</v>
      </c>
      <c r="EG14" s="548">
        <f t="shared" si="50"/>
        <v>14844.321</v>
      </c>
      <c r="EI14" s="547" t="s">
        <v>525</v>
      </c>
      <c r="EJ14" s="546">
        <v>195840000</v>
      </c>
      <c r="EK14" s="546">
        <v>163484143</v>
      </c>
      <c r="EL14" s="546">
        <v>163484143</v>
      </c>
      <c r="EM14" s="548">
        <f t="shared" si="51"/>
        <v>195840</v>
      </c>
      <c r="EN14" s="548">
        <f t="shared" si="52"/>
        <v>163484.14300000001</v>
      </c>
      <c r="EO14" s="548">
        <f t="shared" si="53"/>
        <v>163484.14300000001</v>
      </c>
      <c r="ER14" s="544" t="s">
        <v>527</v>
      </c>
      <c r="ES14" s="545">
        <v>1003161</v>
      </c>
      <c r="ET14" s="546">
        <f t="shared" si="54"/>
        <v>1003.1609999999999</v>
      </c>
      <c r="EW14" s="544" t="s">
        <v>525</v>
      </c>
      <c r="EX14" s="545">
        <v>0</v>
      </c>
      <c r="EY14" s="545">
        <v>195840000</v>
      </c>
      <c r="EZ14" s="545">
        <v>178328809</v>
      </c>
      <c r="FA14" s="545">
        <v>178328809</v>
      </c>
      <c r="FB14" s="545">
        <v>17511191</v>
      </c>
      <c r="FC14" s="546">
        <f t="shared" si="55"/>
        <v>0</v>
      </c>
      <c r="FD14" s="546">
        <f t="shared" si="56"/>
        <v>195840</v>
      </c>
      <c r="FE14" s="546">
        <f t="shared" si="57"/>
        <v>178328.80900000001</v>
      </c>
      <c r="FF14" s="546">
        <f t="shared" si="58"/>
        <v>178328.80900000001</v>
      </c>
      <c r="FG14" s="546">
        <f t="shared" si="59"/>
        <v>17511.190999999999</v>
      </c>
      <c r="FJ14" s="547" t="s">
        <v>526</v>
      </c>
      <c r="FK14" s="546">
        <v>14531815</v>
      </c>
      <c r="FL14" s="548">
        <f t="shared" si="60"/>
        <v>14531.815000000001</v>
      </c>
      <c r="FN14" s="549" t="s">
        <v>525</v>
      </c>
      <c r="FO14" s="550">
        <v>193572617</v>
      </c>
      <c r="FP14" s="550">
        <v>193571079</v>
      </c>
      <c r="FQ14" s="550">
        <v>193571079</v>
      </c>
      <c r="FR14" s="550">
        <f t="shared" si="61"/>
        <v>193572.617</v>
      </c>
      <c r="FS14" s="550">
        <f t="shared" si="62"/>
        <v>193571.079</v>
      </c>
      <c r="FT14" s="550">
        <f t="shared" si="63"/>
        <v>193571.079</v>
      </c>
    </row>
    <row r="15" spans="1:176" ht="15" customHeight="1" x14ac:dyDescent="0.25">
      <c r="A15" s="890" t="s">
        <v>890</v>
      </c>
      <c r="B15" s="544" t="s">
        <v>527</v>
      </c>
      <c r="C15" s="545">
        <v>0</v>
      </c>
      <c r="D15" s="545">
        <v>11180000</v>
      </c>
      <c r="E15" s="545">
        <v>998169</v>
      </c>
      <c r="F15" s="545">
        <v>10181831</v>
      </c>
      <c r="G15" s="545">
        <v>998169</v>
      </c>
      <c r="H15" s="546">
        <f t="shared" si="10"/>
        <v>11649.560000000001</v>
      </c>
      <c r="I15" s="546">
        <f t="shared" si="11"/>
        <v>1040.0920980000001</v>
      </c>
      <c r="J15" s="546">
        <f t="shared" si="12"/>
        <v>10609.467902</v>
      </c>
      <c r="K15" s="546">
        <f t="shared" si="13"/>
        <v>1040.0920980000001</v>
      </c>
      <c r="O15" s="544" t="s">
        <v>344</v>
      </c>
      <c r="P15" s="545">
        <v>1818151</v>
      </c>
      <c r="Q15" s="546">
        <f t="shared" si="14"/>
        <v>1894.5133420000002</v>
      </c>
      <c r="S15" s="544" t="s">
        <v>527</v>
      </c>
      <c r="T15" s="545">
        <v>11180000</v>
      </c>
      <c r="U15" s="545">
        <v>1996338</v>
      </c>
      <c r="V15" s="545">
        <v>1996338</v>
      </c>
      <c r="W15" s="545">
        <v>9183662</v>
      </c>
      <c r="X15" s="546">
        <f t="shared" si="15"/>
        <v>11649.560000000001</v>
      </c>
      <c r="Y15" s="546">
        <f t="shared" si="16"/>
        <v>2080.1841960000002</v>
      </c>
      <c r="Z15" s="546">
        <f t="shared" si="17"/>
        <v>2080.1841960000002</v>
      </c>
      <c r="AA15" s="546">
        <f t="shared" si="18"/>
        <v>9569.3758040000012</v>
      </c>
      <c r="AC15" s="544" t="s">
        <v>527</v>
      </c>
      <c r="AD15" s="545">
        <v>998169</v>
      </c>
      <c r="AE15" s="546">
        <f t="shared" si="19"/>
        <v>998.16899999999998</v>
      </c>
      <c r="AG15" s="544" t="s">
        <v>527</v>
      </c>
      <c r="AH15" s="545">
        <v>11180000</v>
      </c>
      <c r="AI15" s="545">
        <v>2994507</v>
      </c>
      <c r="AJ15" s="545">
        <v>2994507</v>
      </c>
      <c r="AK15" s="545">
        <v>8185493</v>
      </c>
      <c r="AL15" s="545">
        <f t="shared" si="20"/>
        <v>11180</v>
      </c>
      <c r="AM15" s="545">
        <f t="shared" si="21"/>
        <v>2994.5070000000001</v>
      </c>
      <c r="AN15" s="545">
        <f t="shared" si="22"/>
        <v>2994.5070000000001</v>
      </c>
      <c r="AO15" s="545">
        <f t="shared" si="23"/>
        <v>8185.4930000000004</v>
      </c>
      <c r="AR15" s="544" t="s">
        <v>344</v>
      </c>
      <c r="AS15" s="545">
        <v>1656301</v>
      </c>
      <c r="AT15" s="545">
        <f t="shared" si="24"/>
        <v>1656.3009999999999</v>
      </c>
      <c r="AV15" s="544" t="s">
        <v>527</v>
      </c>
      <c r="AW15" s="545">
        <v>11180000</v>
      </c>
      <c r="AX15" s="545">
        <v>3992676</v>
      </c>
      <c r="AY15" s="545">
        <v>3992676</v>
      </c>
      <c r="AZ15" s="545">
        <v>7187324</v>
      </c>
      <c r="BA15" s="546">
        <f t="shared" si="25"/>
        <v>11180</v>
      </c>
      <c r="BB15" s="546">
        <f t="shared" si="26"/>
        <v>3992.6759999999999</v>
      </c>
      <c r="BC15" s="546">
        <f t="shared" si="27"/>
        <v>3992.6759999999999</v>
      </c>
      <c r="BD15" s="546">
        <f t="shared" si="28"/>
        <v>7187.3239999999996</v>
      </c>
      <c r="BG15" s="544" t="s">
        <v>344</v>
      </c>
      <c r="BH15" s="545">
        <v>1584867</v>
      </c>
      <c r="BI15" s="545">
        <f t="shared" si="29"/>
        <v>1584.867</v>
      </c>
      <c r="BK15" s="544" t="s">
        <v>527</v>
      </c>
      <c r="BL15" s="545">
        <v>11180000</v>
      </c>
      <c r="BM15" s="545">
        <v>4990845</v>
      </c>
      <c r="BN15" s="545">
        <v>4990845</v>
      </c>
      <c r="BO15" s="545">
        <v>6189155</v>
      </c>
      <c r="BP15" s="545">
        <f t="shared" si="30"/>
        <v>11180</v>
      </c>
      <c r="BQ15" s="545">
        <f t="shared" si="31"/>
        <v>4990.8450000000003</v>
      </c>
      <c r="BR15" s="545">
        <f t="shared" si="32"/>
        <v>4990.8450000000003</v>
      </c>
      <c r="BS15" s="545">
        <f t="shared" si="33"/>
        <v>6189.1549999999997</v>
      </c>
      <c r="BV15" s="544" t="s">
        <v>527</v>
      </c>
      <c r="BW15" s="545">
        <v>1003161</v>
      </c>
      <c r="BX15" s="546">
        <f t="shared" si="34"/>
        <v>1003.1609999999999</v>
      </c>
      <c r="BZ15" s="544" t="s">
        <v>527</v>
      </c>
      <c r="CA15" s="545">
        <v>11180000</v>
      </c>
      <c r="CB15" s="545">
        <v>5994006</v>
      </c>
      <c r="CC15" s="545">
        <v>5994006</v>
      </c>
      <c r="CD15" s="545">
        <v>5185994</v>
      </c>
      <c r="CE15" s="545">
        <f t="shared" si="35"/>
        <v>11180</v>
      </c>
      <c r="CF15" s="545">
        <f t="shared" si="36"/>
        <v>5994.0060000000003</v>
      </c>
      <c r="CG15" s="545">
        <f t="shared" si="37"/>
        <v>5994.0060000000003</v>
      </c>
      <c r="CH15" s="545">
        <f t="shared" si="38"/>
        <v>5185.9939999999997</v>
      </c>
      <c r="CK15" s="547" t="s">
        <v>527</v>
      </c>
      <c r="CL15" s="546">
        <v>1001227</v>
      </c>
      <c r="CM15" s="546">
        <f t="shared" si="39"/>
        <v>1001.227</v>
      </c>
      <c r="CP15" s="547" t="s">
        <v>527</v>
      </c>
      <c r="CQ15" s="546">
        <v>11180000</v>
      </c>
      <c r="CR15" s="546">
        <v>6995233</v>
      </c>
      <c r="CS15" s="546">
        <v>6995233</v>
      </c>
      <c r="CT15" s="546">
        <v>4184767</v>
      </c>
      <c r="CU15" s="546">
        <f t="shared" si="2"/>
        <v>11180</v>
      </c>
      <c r="CV15" s="546">
        <f t="shared" si="3"/>
        <v>6995.2330000000002</v>
      </c>
      <c r="CW15" s="546">
        <f t="shared" si="4"/>
        <v>6995.2330000000002</v>
      </c>
      <c r="CX15" s="546">
        <f t="shared" si="5"/>
        <v>4184.7669999999998</v>
      </c>
      <c r="CZ15" s="547" t="s">
        <v>527</v>
      </c>
      <c r="DA15" s="546">
        <v>996396</v>
      </c>
      <c r="DB15" s="546">
        <f t="shared" si="40"/>
        <v>996.39599999999996</v>
      </c>
      <c r="DE15" s="544" t="s">
        <v>527</v>
      </c>
      <c r="DF15" s="545">
        <v>11180000</v>
      </c>
      <c r="DG15" s="545">
        <v>7991629</v>
      </c>
      <c r="DH15" s="545">
        <v>7991629</v>
      </c>
      <c r="DI15" s="545">
        <v>3188371</v>
      </c>
      <c r="DJ15" s="546">
        <f t="shared" si="41"/>
        <v>11180</v>
      </c>
      <c r="DK15" s="546">
        <f t="shared" si="42"/>
        <v>7991.6289999999999</v>
      </c>
      <c r="DL15" s="546">
        <f t="shared" si="43"/>
        <v>7991.6289999999999</v>
      </c>
      <c r="DM15" s="546">
        <f t="shared" si="44"/>
        <v>3188.3710000000001</v>
      </c>
      <c r="DP15" s="544" t="s">
        <v>527</v>
      </c>
      <c r="DQ15" s="545">
        <v>1003161</v>
      </c>
      <c r="DR15" s="546">
        <f t="shared" si="45"/>
        <v>1003.1609999999999</v>
      </c>
      <c r="DT15" s="544" t="s">
        <v>527</v>
      </c>
      <c r="DU15" s="545">
        <v>11180000</v>
      </c>
      <c r="DV15" s="545">
        <v>8994790</v>
      </c>
      <c r="DW15" s="545">
        <v>8994790</v>
      </c>
      <c r="DX15" s="545">
        <v>2185210</v>
      </c>
      <c r="DY15" s="546">
        <f t="shared" si="46"/>
        <v>11180</v>
      </c>
      <c r="DZ15" s="546">
        <f t="shared" si="47"/>
        <v>8994.7900000000009</v>
      </c>
      <c r="EA15" s="546">
        <f t="shared" si="48"/>
        <v>8994.7900000000009</v>
      </c>
      <c r="EB15" s="546">
        <f t="shared" si="49"/>
        <v>2185.21</v>
      </c>
      <c r="EE15" s="547" t="s">
        <v>527</v>
      </c>
      <c r="EF15" s="546">
        <v>1002817</v>
      </c>
      <c r="EG15" s="548">
        <f t="shared" si="50"/>
        <v>1002.817</v>
      </c>
      <c r="EI15" s="547" t="s">
        <v>526</v>
      </c>
      <c r="EJ15" s="546">
        <v>63130000</v>
      </c>
      <c r="EK15" s="546">
        <v>47950008</v>
      </c>
      <c r="EL15" s="546">
        <v>47950008</v>
      </c>
      <c r="EM15" s="548">
        <f t="shared" si="51"/>
        <v>63130</v>
      </c>
      <c r="EN15" s="548">
        <f t="shared" si="52"/>
        <v>47950.008000000002</v>
      </c>
      <c r="EO15" s="548">
        <f t="shared" si="53"/>
        <v>47950.008000000002</v>
      </c>
      <c r="ER15" s="544" t="s">
        <v>344</v>
      </c>
      <c r="ES15" s="545">
        <v>1439530</v>
      </c>
      <c r="ET15" s="546">
        <f t="shared" si="54"/>
        <v>1439.53</v>
      </c>
      <c r="EW15" s="544" t="s">
        <v>526</v>
      </c>
      <c r="EX15" s="545">
        <v>0</v>
      </c>
      <c r="EY15" s="545">
        <v>63130000</v>
      </c>
      <c r="EZ15" s="545">
        <v>47950008</v>
      </c>
      <c r="FA15" s="545">
        <v>47950008</v>
      </c>
      <c r="FB15" s="545">
        <v>15179992</v>
      </c>
      <c r="FC15" s="546">
        <f t="shared" si="55"/>
        <v>0</v>
      </c>
      <c r="FD15" s="546">
        <f t="shared" si="56"/>
        <v>63130</v>
      </c>
      <c r="FE15" s="546">
        <f t="shared" si="57"/>
        <v>47950.008000000002</v>
      </c>
      <c r="FF15" s="546">
        <f t="shared" si="58"/>
        <v>47950.008000000002</v>
      </c>
      <c r="FG15" s="546">
        <f t="shared" si="59"/>
        <v>15179.992</v>
      </c>
      <c r="FJ15" s="547" t="s">
        <v>527</v>
      </c>
      <c r="FK15" s="546">
        <v>1031719</v>
      </c>
      <c r="FL15" s="548">
        <f t="shared" si="60"/>
        <v>1031.7190000000001</v>
      </c>
      <c r="FN15" s="549" t="s">
        <v>526</v>
      </c>
      <c r="FO15" s="550">
        <v>62483361</v>
      </c>
      <c r="FP15" s="550">
        <v>62481823</v>
      </c>
      <c r="FQ15" s="550">
        <v>62481823</v>
      </c>
      <c r="FR15" s="550">
        <f t="shared" si="61"/>
        <v>62483.360999999997</v>
      </c>
      <c r="FS15" s="550">
        <f t="shared" si="62"/>
        <v>62481.822999999997</v>
      </c>
      <c r="FT15" s="550">
        <f t="shared" si="63"/>
        <v>62481.822999999997</v>
      </c>
    </row>
    <row r="16" spans="1:176" ht="15" customHeight="1" x14ac:dyDescent="0.25">
      <c r="A16" s="890" t="s">
        <v>890</v>
      </c>
      <c r="B16" s="544" t="s">
        <v>825</v>
      </c>
      <c r="C16" s="545">
        <v>0</v>
      </c>
      <c r="D16" s="545">
        <v>17350000</v>
      </c>
      <c r="E16" s="545">
        <v>0</v>
      </c>
      <c r="F16" s="545">
        <v>17350000</v>
      </c>
      <c r="G16" s="545">
        <v>0</v>
      </c>
      <c r="H16" s="546">
        <f t="shared" si="10"/>
        <v>18078.7</v>
      </c>
      <c r="I16" s="546">
        <f t="shared" si="11"/>
        <v>0</v>
      </c>
      <c r="J16" s="546">
        <f t="shared" si="12"/>
        <v>18078.7</v>
      </c>
      <c r="K16" s="546">
        <f t="shared" si="13"/>
        <v>0</v>
      </c>
      <c r="O16" s="544" t="s">
        <v>528</v>
      </c>
      <c r="P16" s="545">
        <v>348024</v>
      </c>
      <c r="Q16" s="546">
        <f t="shared" si="14"/>
        <v>362.641008</v>
      </c>
      <c r="S16" s="544" t="s">
        <v>825</v>
      </c>
      <c r="T16" s="545">
        <v>17350000</v>
      </c>
      <c r="U16" s="545">
        <v>0</v>
      </c>
      <c r="V16" s="545">
        <v>0</v>
      </c>
      <c r="W16" s="545">
        <v>17350000</v>
      </c>
      <c r="X16" s="546">
        <f t="shared" si="15"/>
        <v>18078.7</v>
      </c>
      <c r="Y16" s="546">
        <f t="shared" si="16"/>
        <v>0</v>
      </c>
      <c r="Z16" s="546">
        <f t="shared" si="17"/>
        <v>0</v>
      </c>
      <c r="AA16" s="546">
        <f t="shared" si="18"/>
        <v>18078.7</v>
      </c>
      <c r="AC16" s="544" t="s">
        <v>344</v>
      </c>
      <c r="AD16" s="545">
        <v>1718273</v>
      </c>
      <c r="AE16" s="546">
        <f t="shared" si="19"/>
        <v>1718.2729999999999</v>
      </c>
      <c r="AG16" s="544" t="s">
        <v>825</v>
      </c>
      <c r="AH16" s="545">
        <v>17350000</v>
      </c>
      <c r="AI16" s="545">
        <v>0</v>
      </c>
      <c r="AJ16" s="545">
        <v>0</v>
      </c>
      <c r="AK16" s="545">
        <v>17350000</v>
      </c>
      <c r="AL16" s="545">
        <f t="shared" si="20"/>
        <v>17350</v>
      </c>
      <c r="AM16" s="545">
        <f t="shared" si="21"/>
        <v>0</v>
      </c>
      <c r="AN16" s="545">
        <f t="shared" si="22"/>
        <v>0</v>
      </c>
      <c r="AO16" s="545">
        <f t="shared" si="23"/>
        <v>17350</v>
      </c>
      <c r="AR16" s="544" t="s">
        <v>528</v>
      </c>
      <c r="AS16" s="545">
        <v>174012</v>
      </c>
      <c r="AT16" s="545">
        <f t="shared" si="24"/>
        <v>174.012</v>
      </c>
      <c r="AV16" s="544" t="s">
        <v>825</v>
      </c>
      <c r="AW16" s="545">
        <v>17350000</v>
      </c>
      <c r="AX16" s="545">
        <v>0</v>
      </c>
      <c r="AY16" s="545">
        <v>0</v>
      </c>
      <c r="AZ16" s="545">
        <v>17350000</v>
      </c>
      <c r="BA16" s="546">
        <f t="shared" si="25"/>
        <v>17350</v>
      </c>
      <c r="BB16" s="546">
        <f t="shared" si="26"/>
        <v>0</v>
      </c>
      <c r="BC16" s="546">
        <f t="shared" si="27"/>
        <v>0</v>
      </c>
      <c r="BD16" s="546">
        <f t="shared" si="28"/>
        <v>17350</v>
      </c>
      <c r="BG16" s="544" t="s">
        <v>528</v>
      </c>
      <c r="BH16" s="545">
        <v>174012</v>
      </c>
      <c r="BI16" s="545">
        <f t="shared" si="29"/>
        <v>174.012</v>
      </c>
      <c r="BK16" s="544" t="s">
        <v>825</v>
      </c>
      <c r="BL16" s="545">
        <v>17350000</v>
      </c>
      <c r="BM16" s="545">
        <v>0</v>
      </c>
      <c r="BN16" s="545">
        <v>0</v>
      </c>
      <c r="BO16" s="545">
        <v>17350000</v>
      </c>
      <c r="BP16" s="545">
        <f t="shared" si="30"/>
        <v>17350</v>
      </c>
      <c r="BQ16" s="545">
        <f t="shared" si="31"/>
        <v>0</v>
      </c>
      <c r="BR16" s="545">
        <f t="shared" si="32"/>
        <v>0</v>
      </c>
      <c r="BS16" s="545">
        <f t="shared" si="33"/>
        <v>17350</v>
      </c>
      <c r="BV16" s="544" t="s">
        <v>344</v>
      </c>
      <c r="BW16" s="545">
        <v>1819822</v>
      </c>
      <c r="BX16" s="546">
        <f t="shared" si="34"/>
        <v>1819.8219999999999</v>
      </c>
      <c r="BZ16" s="544" t="s">
        <v>825</v>
      </c>
      <c r="CA16" s="545">
        <v>17350000</v>
      </c>
      <c r="CB16" s="545">
        <v>0</v>
      </c>
      <c r="CC16" s="545">
        <v>0</v>
      </c>
      <c r="CD16" s="545">
        <v>17350000</v>
      </c>
      <c r="CE16" s="545">
        <f t="shared" si="35"/>
        <v>17350</v>
      </c>
      <c r="CF16" s="545">
        <f t="shared" si="36"/>
        <v>0</v>
      </c>
      <c r="CG16" s="545">
        <f t="shared" si="37"/>
        <v>0</v>
      </c>
      <c r="CH16" s="545">
        <f t="shared" si="38"/>
        <v>17350</v>
      </c>
      <c r="CK16" s="547" t="s">
        <v>344</v>
      </c>
      <c r="CL16" s="546">
        <v>1556081</v>
      </c>
      <c r="CM16" s="546">
        <f t="shared" si="39"/>
        <v>1556.0809999999999</v>
      </c>
      <c r="CP16" s="547" t="s">
        <v>825</v>
      </c>
      <c r="CQ16" s="546">
        <v>17350000</v>
      </c>
      <c r="CR16" s="546">
        <v>0</v>
      </c>
      <c r="CS16" s="546">
        <v>0</v>
      </c>
      <c r="CT16" s="546">
        <v>17350000</v>
      </c>
      <c r="CU16" s="546">
        <f t="shared" si="2"/>
        <v>17350</v>
      </c>
      <c r="CV16" s="546">
        <f t="shared" si="3"/>
        <v>0</v>
      </c>
      <c r="CW16" s="546">
        <f t="shared" si="4"/>
        <v>0</v>
      </c>
      <c r="CX16" s="546">
        <f t="shared" si="5"/>
        <v>17350</v>
      </c>
      <c r="CZ16" s="547" t="s">
        <v>344</v>
      </c>
      <c r="DA16" s="546">
        <v>1527261</v>
      </c>
      <c r="DB16" s="546">
        <f t="shared" si="40"/>
        <v>1527.261</v>
      </c>
      <c r="DE16" s="544" t="s">
        <v>825</v>
      </c>
      <c r="DF16" s="545">
        <v>17350000</v>
      </c>
      <c r="DG16" s="545">
        <v>0</v>
      </c>
      <c r="DH16" s="545">
        <v>0</v>
      </c>
      <c r="DI16" s="545">
        <v>17350000</v>
      </c>
      <c r="DJ16" s="546">
        <f t="shared" si="41"/>
        <v>17350</v>
      </c>
      <c r="DK16" s="546">
        <f t="shared" si="42"/>
        <v>0</v>
      </c>
      <c r="DL16" s="546">
        <f t="shared" si="43"/>
        <v>0</v>
      </c>
      <c r="DM16" s="546">
        <f t="shared" si="44"/>
        <v>17350</v>
      </c>
      <c r="DP16" s="544" t="s">
        <v>344</v>
      </c>
      <c r="DQ16" s="545">
        <v>1750736</v>
      </c>
      <c r="DR16" s="546">
        <f t="shared" si="45"/>
        <v>1750.7360000000001</v>
      </c>
      <c r="DT16" s="544" t="s">
        <v>825</v>
      </c>
      <c r="DU16" s="545">
        <v>17350000</v>
      </c>
      <c r="DV16" s="545">
        <v>0</v>
      </c>
      <c r="DW16" s="545">
        <v>0</v>
      </c>
      <c r="DX16" s="545">
        <v>17350000</v>
      </c>
      <c r="DY16" s="546">
        <f t="shared" si="46"/>
        <v>17350</v>
      </c>
      <c r="DZ16" s="546">
        <f t="shared" si="47"/>
        <v>0</v>
      </c>
      <c r="EA16" s="546">
        <f t="shared" si="48"/>
        <v>0</v>
      </c>
      <c r="EB16" s="546">
        <f t="shared" si="49"/>
        <v>17350</v>
      </c>
      <c r="EE16" s="547" t="s">
        <v>344</v>
      </c>
      <c r="EF16" s="546">
        <v>1432355</v>
      </c>
      <c r="EG16" s="548">
        <f t="shared" si="50"/>
        <v>1432.355</v>
      </c>
      <c r="EI16" s="547" t="s">
        <v>527</v>
      </c>
      <c r="EJ16" s="546">
        <v>11180000</v>
      </c>
      <c r="EK16" s="546">
        <v>9997607</v>
      </c>
      <c r="EL16" s="546">
        <v>9997607</v>
      </c>
      <c r="EM16" s="548">
        <f t="shared" si="51"/>
        <v>11180</v>
      </c>
      <c r="EN16" s="548">
        <f t="shared" si="52"/>
        <v>9997.607</v>
      </c>
      <c r="EO16" s="548">
        <f t="shared" si="53"/>
        <v>9997.607</v>
      </c>
      <c r="ER16" s="544" t="s">
        <v>528</v>
      </c>
      <c r="ES16" s="545">
        <v>130509</v>
      </c>
      <c r="ET16" s="546">
        <f t="shared" si="54"/>
        <v>130.50899999999999</v>
      </c>
      <c r="EW16" s="544" t="s">
        <v>527</v>
      </c>
      <c r="EX16" s="545">
        <v>0</v>
      </c>
      <c r="EY16" s="545">
        <v>11180000</v>
      </c>
      <c r="EZ16" s="545">
        <v>11000768</v>
      </c>
      <c r="FA16" s="545">
        <v>11000768</v>
      </c>
      <c r="FB16" s="545">
        <v>179232</v>
      </c>
      <c r="FC16" s="546">
        <f t="shared" si="55"/>
        <v>0</v>
      </c>
      <c r="FD16" s="546">
        <f t="shared" si="56"/>
        <v>11180</v>
      </c>
      <c r="FE16" s="546">
        <f t="shared" si="57"/>
        <v>11000.768</v>
      </c>
      <c r="FF16" s="546">
        <f t="shared" si="58"/>
        <v>11000.768</v>
      </c>
      <c r="FG16" s="546">
        <f t="shared" si="59"/>
        <v>179.232</v>
      </c>
      <c r="FJ16" s="547" t="s">
        <v>344</v>
      </c>
      <c r="FK16" s="546">
        <v>1652069</v>
      </c>
      <c r="FL16" s="548">
        <f t="shared" si="60"/>
        <v>1652.069</v>
      </c>
      <c r="FN16" s="549" t="s">
        <v>527</v>
      </c>
      <c r="FO16" s="550">
        <v>12034025</v>
      </c>
      <c r="FP16" s="550">
        <v>12032487</v>
      </c>
      <c r="FQ16" s="550">
        <v>12032487</v>
      </c>
      <c r="FR16" s="550">
        <f t="shared" si="61"/>
        <v>12034.025</v>
      </c>
      <c r="FS16" s="550">
        <f t="shared" si="62"/>
        <v>12032.486999999999</v>
      </c>
      <c r="FT16" s="550">
        <f t="shared" si="63"/>
        <v>12032.486999999999</v>
      </c>
    </row>
    <row r="17" spans="1:176" ht="15" customHeight="1" x14ac:dyDescent="0.25">
      <c r="A17" s="890" t="s">
        <v>889</v>
      </c>
      <c r="B17" s="544" t="s">
        <v>344</v>
      </c>
      <c r="C17" s="545">
        <v>0</v>
      </c>
      <c r="D17" s="545">
        <v>21740000</v>
      </c>
      <c r="E17" s="545">
        <v>1583356</v>
      </c>
      <c r="F17" s="545">
        <v>20156644</v>
      </c>
      <c r="G17" s="545">
        <v>1583356</v>
      </c>
      <c r="H17" s="546">
        <f t="shared" si="10"/>
        <v>22653.08</v>
      </c>
      <c r="I17" s="546">
        <f t="shared" si="11"/>
        <v>1649.8569520000001</v>
      </c>
      <c r="J17" s="546">
        <f t="shared" si="12"/>
        <v>21003.223048</v>
      </c>
      <c r="K17" s="546">
        <f t="shared" si="13"/>
        <v>1649.8569520000001</v>
      </c>
      <c r="O17" s="544" t="s">
        <v>529</v>
      </c>
      <c r="P17" s="545">
        <v>1470127</v>
      </c>
      <c r="Q17" s="546">
        <f t="shared" si="14"/>
        <v>1531.8723339999999</v>
      </c>
      <c r="S17" s="544" t="s">
        <v>344</v>
      </c>
      <c r="T17" s="545">
        <v>21740000</v>
      </c>
      <c r="U17" s="545">
        <v>3401507</v>
      </c>
      <c r="V17" s="545">
        <v>3401507</v>
      </c>
      <c r="W17" s="545">
        <v>18338493</v>
      </c>
      <c r="X17" s="546">
        <f t="shared" si="15"/>
        <v>22653.08</v>
      </c>
      <c r="Y17" s="546">
        <f t="shared" si="16"/>
        <v>3544.3702940000003</v>
      </c>
      <c r="Z17" s="546">
        <f t="shared" si="17"/>
        <v>3544.3702940000003</v>
      </c>
      <c r="AA17" s="546">
        <f t="shared" si="18"/>
        <v>19108.709705999998</v>
      </c>
      <c r="AC17" s="544" t="s">
        <v>529</v>
      </c>
      <c r="AD17" s="545">
        <v>1718273</v>
      </c>
      <c r="AE17" s="546">
        <f t="shared" si="19"/>
        <v>1718.2729999999999</v>
      </c>
      <c r="AG17" s="544" t="s">
        <v>344</v>
      </c>
      <c r="AH17" s="545">
        <v>21740000</v>
      </c>
      <c r="AI17" s="545">
        <v>5119780</v>
      </c>
      <c r="AJ17" s="545">
        <v>5119780</v>
      </c>
      <c r="AK17" s="545">
        <v>16620220</v>
      </c>
      <c r="AL17" s="545">
        <f t="shared" si="20"/>
        <v>21740</v>
      </c>
      <c r="AM17" s="545">
        <f t="shared" si="21"/>
        <v>5119.78</v>
      </c>
      <c r="AN17" s="545">
        <f t="shared" si="22"/>
        <v>5119.78</v>
      </c>
      <c r="AO17" s="545">
        <f t="shared" si="23"/>
        <v>16620.22</v>
      </c>
      <c r="AR17" s="544" t="s">
        <v>529</v>
      </c>
      <c r="AS17" s="545">
        <v>1482289</v>
      </c>
      <c r="AT17" s="545">
        <f t="shared" si="24"/>
        <v>1482.289</v>
      </c>
      <c r="AV17" s="544" t="s">
        <v>344</v>
      </c>
      <c r="AW17" s="545">
        <v>21740000</v>
      </c>
      <c r="AX17" s="545">
        <v>6776081</v>
      </c>
      <c r="AY17" s="545">
        <v>6776081</v>
      </c>
      <c r="AZ17" s="545">
        <v>14963919</v>
      </c>
      <c r="BA17" s="546">
        <f t="shared" si="25"/>
        <v>21740</v>
      </c>
      <c r="BB17" s="546">
        <f t="shared" si="26"/>
        <v>6776.0810000000001</v>
      </c>
      <c r="BC17" s="546">
        <f t="shared" si="27"/>
        <v>6776.0810000000001</v>
      </c>
      <c r="BD17" s="546">
        <f t="shared" si="28"/>
        <v>14963.919</v>
      </c>
      <c r="BG17" s="544" t="s">
        <v>529</v>
      </c>
      <c r="BH17" s="545">
        <v>1410855</v>
      </c>
      <c r="BI17" s="545">
        <f t="shared" si="29"/>
        <v>1410.855</v>
      </c>
      <c r="BK17" s="544" t="s">
        <v>344</v>
      </c>
      <c r="BL17" s="545">
        <v>21740000</v>
      </c>
      <c r="BM17" s="545">
        <v>8360948</v>
      </c>
      <c r="BN17" s="545">
        <v>8360948</v>
      </c>
      <c r="BO17" s="545">
        <v>13379052</v>
      </c>
      <c r="BP17" s="545">
        <f t="shared" si="30"/>
        <v>21740</v>
      </c>
      <c r="BQ17" s="545">
        <f t="shared" si="31"/>
        <v>8360.9480000000003</v>
      </c>
      <c r="BR17" s="545">
        <f t="shared" si="32"/>
        <v>8360.9480000000003</v>
      </c>
      <c r="BS17" s="545">
        <f t="shared" si="33"/>
        <v>13379.052</v>
      </c>
      <c r="BV17" s="544" t="s">
        <v>528</v>
      </c>
      <c r="BW17" s="545">
        <v>159511</v>
      </c>
      <c r="BX17" s="546">
        <f t="shared" si="34"/>
        <v>159.511</v>
      </c>
      <c r="BZ17" s="544" t="s">
        <v>344</v>
      </c>
      <c r="CA17" s="545">
        <v>21740000</v>
      </c>
      <c r="CB17" s="545">
        <v>10180770</v>
      </c>
      <c r="CC17" s="545">
        <v>10180770</v>
      </c>
      <c r="CD17" s="545">
        <v>11559230</v>
      </c>
      <c r="CE17" s="545">
        <f t="shared" si="35"/>
        <v>21740</v>
      </c>
      <c r="CF17" s="545">
        <f t="shared" si="36"/>
        <v>10180.77</v>
      </c>
      <c r="CG17" s="545">
        <f t="shared" si="37"/>
        <v>10180.77</v>
      </c>
      <c r="CH17" s="545">
        <f t="shared" si="38"/>
        <v>11559.23</v>
      </c>
      <c r="CK17" s="547" t="s">
        <v>528</v>
      </c>
      <c r="CL17" s="546">
        <v>159511</v>
      </c>
      <c r="CM17" s="546">
        <f t="shared" si="39"/>
        <v>159.511</v>
      </c>
      <c r="CP17" s="547" t="s">
        <v>344</v>
      </c>
      <c r="CQ17" s="546">
        <v>21740000</v>
      </c>
      <c r="CR17" s="546">
        <v>11736851</v>
      </c>
      <c r="CS17" s="546">
        <v>11736851</v>
      </c>
      <c r="CT17" s="546">
        <v>10003149</v>
      </c>
      <c r="CU17" s="546">
        <f t="shared" si="2"/>
        <v>21740</v>
      </c>
      <c r="CV17" s="546">
        <f t="shared" si="3"/>
        <v>11736.851000000001</v>
      </c>
      <c r="CW17" s="546">
        <f t="shared" si="4"/>
        <v>11736.851000000001</v>
      </c>
      <c r="CX17" s="546">
        <f t="shared" si="5"/>
        <v>10003.148999999999</v>
      </c>
      <c r="CZ17" s="547" t="s">
        <v>528</v>
      </c>
      <c r="DA17" s="546">
        <v>130509</v>
      </c>
      <c r="DB17" s="546">
        <f t="shared" si="40"/>
        <v>130.50899999999999</v>
      </c>
      <c r="DE17" s="544" t="s">
        <v>344</v>
      </c>
      <c r="DF17" s="545">
        <v>21740000</v>
      </c>
      <c r="DG17" s="545">
        <v>13264112</v>
      </c>
      <c r="DH17" s="545">
        <v>13264112</v>
      </c>
      <c r="DI17" s="545">
        <v>8475888</v>
      </c>
      <c r="DJ17" s="546">
        <f t="shared" si="41"/>
        <v>21740</v>
      </c>
      <c r="DK17" s="546">
        <f t="shared" si="42"/>
        <v>13264.111999999999</v>
      </c>
      <c r="DL17" s="546">
        <f t="shared" si="43"/>
        <v>13264.111999999999</v>
      </c>
      <c r="DM17" s="546">
        <f t="shared" si="44"/>
        <v>8475.8880000000008</v>
      </c>
      <c r="DP17" s="544" t="s">
        <v>528</v>
      </c>
      <c r="DQ17" s="545">
        <v>130509</v>
      </c>
      <c r="DR17" s="546">
        <f t="shared" si="45"/>
        <v>130.50899999999999</v>
      </c>
      <c r="DT17" s="544" t="s">
        <v>344</v>
      </c>
      <c r="DU17" s="545">
        <v>21740000</v>
      </c>
      <c r="DV17" s="545">
        <v>15014848</v>
      </c>
      <c r="DW17" s="545">
        <v>15014848</v>
      </c>
      <c r="DX17" s="545">
        <v>6725152</v>
      </c>
      <c r="DY17" s="546">
        <f t="shared" si="46"/>
        <v>21740</v>
      </c>
      <c r="DZ17" s="546">
        <f t="shared" si="47"/>
        <v>15014.848</v>
      </c>
      <c r="EA17" s="546">
        <f t="shared" si="48"/>
        <v>15014.848</v>
      </c>
      <c r="EB17" s="546">
        <f t="shared" si="49"/>
        <v>6725.152</v>
      </c>
      <c r="EE17" s="547" t="s">
        <v>528</v>
      </c>
      <c r="EF17" s="546">
        <v>130509</v>
      </c>
      <c r="EG17" s="548">
        <f t="shared" si="50"/>
        <v>130.50899999999999</v>
      </c>
      <c r="EI17" s="547" t="s">
        <v>825</v>
      </c>
      <c r="EJ17" s="546">
        <v>17350000</v>
      </c>
      <c r="EK17" s="546">
        <v>0</v>
      </c>
      <c r="EL17" s="546">
        <v>0</v>
      </c>
      <c r="EM17" s="548">
        <f t="shared" si="51"/>
        <v>17350</v>
      </c>
      <c r="EN17" s="548">
        <f t="shared" si="52"/>
        <v>0</v>
      </c>
      <c r="EO17" s="548">
        <f t="shared" si="53"/>
        <v>0</v>
      </c>
      <c r="ER17" s="544" t="s">
        <v>529</v>
      </c>
      <c r="ES17" s="545">
        <v>1309021</v>
      </c>
      <c r="ET17" s="546">
        <f t="shared" si="54"/>
        <v>1309.021</v>
      </c>
      <c r="EW17" s="544" t="s">
        <v>825</v>
      </c>
      <c r="EX17" s="545">
        <v>0</v>
      </c>
      <c r="EY17" s="545">
        <v>17350000</v>
      </c>
      <c r="EZ17" s="545">
        <v>0</v>
      </c>
      <c r="FA17" s="545">
        <v>0</v>
      </c>
      <c r="FB17" s="545">
        <v>17350000</v>
      </c>
      <c r="FC17" s="546">
        <f t="shared" si="55"/>
        <v>0</v>
      </c>
      <c r="FD17" s="546">
        <f t="shared" si="56"/>
        <v>17350</v>
      </c>
      <c r="FE17" s="546">
        <f t="shared" si="57"/>
        <v>0</v>
      </c>
      <c r="FF17" s="546">
        <f t="shared" si="58"/>
        <v>0</v>
      </c>
      <c r="FG17" s="546">
        <f t="shared" si="59"/>
        <v>17350</v>
      </c>
      <c r="FJ17" s="547" t="s">
        <v>528</v>
      </c>
      <c r="FK17" s="546">
        <v>130509</v>
      </c>
      <c r="FL17" s="548">
        <f t="shared" si="60"/>
        <v>130.50899999999999</v>
      </c>
      <c r="FN17" s="549" t="s">
        <v>344</v>
      </c>
      <c r="FO17" s="550">
        <v>19540340</v>
      </c>
      <c r="FP17" s="550">
        <v>19538802</v>
      </c>
      <c r="FQ17" s="550">
        <v>19538802</v>
      </c>
      <c r="FR17" s="550">
        <f t="shared" si="61"/>
        <v>19540.34</v>
      </c>
      <c r="FS17" s="550">
        <f t="shared" si="62"/>
        <v>19538.802</v>
      </c>
      <c r="FT17" s="550">
        <f t="shared" si="63"/>
        <v>19538.802</v>
      </c>
    </row>
    <row r="18" spans="1:176" ht="15" customHeight="1" x14ac:dyDescent="0.25">
      <c r="A18" s="890" t="s">
        <v>890</v>
      </c>
      <c r="B18" s="544" t="s">
        <v>528</v>
      </c>
      <c r="C18" s="545">
        <v>0</v>
      </c>
      <c r="D18" s="545">
        <v>1570000</v>
      </c>
      <c r="E18" s="545">
        <v>0</v>
      </c>
      <c r="F18" s="545">
        <v>1570000</v>
      </c>
      <c r="G18" s="545">
        <v>0</v>
      </c>
      <c r="H18" s="546">
        <f t="shared" si="10"/>
        <v>1635.94</v>
      </c>
      <c r="I18" s="546">
        <f t="shared" si="11"/>
        <v>0</v>
      </c>
      <c r="J18" s="546">
        <f t="shared" si="12"/>
        <v>1635.94</v>
      </c>
      <c r="K18" s="546">
        <f t="shared" si="13"/>
        <v>0</v>
      </c>
      <c r="O18" s="544" t="s">
        <v>346</v>
      </c>
      <c r="P18" s="545">
        <v>8169877</v>
      </c>
      <c r="Q18" s="546">
        <f t="shared" si="14"/>
        <v>8513.0118340000008</v>
      </c>
      <c r="S18" s="544" t="s">
        <v>528</v>
      </c>
      <c r="T18" s="545">
        <v>1570000</v>
      </c>
      <c r="U18" s="545">
        <v>348024</v>
      </c>
      <c r="V18" s="545">
        <v>348024</v>
      </c>
      <c r="W18" s="545">
        <v>1221976</v>
      </c>
      <c r="X18" s="546">
        <f t="shared" si="15"/>
        <v>1635.94</v>
      </c>
      <c r="Y18" s="546">
        <f t="shared" si="16"/>
        <v>362.641008</v>
      </c>
      <c r="Z18" s="546">
        <f t="shared" si="17"/>
        <v>362.641008</v>
      </c>
      <c r="AA18" s="546">
        <f t="shared" si="18"/>
        <v>1273.2989920000002</v>
      </c>
      <c r="AC18" s="544" t="s">
        <v>530</v>
      </c>
      <c r="AD18" s="545">
        <v>15773070</v>
      </c>
      <c r="AE18" s="546">
        <f t="shared" si="19"/>
        <v>15773.07</v>
      </c>
      <c r="AG18" s="544" t="s">
        <v>528</v>
      </c>
      <c r="AH18" s="545">
        <v>1570000</v>
      </c>
      <c r="AI18" s="545">
        <v>348024</v>
      </c>
      <c r="AJ18" s="545">
        <v>348024</v>
      </c>
      <c r="AK18" s="545">
        <v>1221976</v>
      </c>
      <c r="AL18" s="545">
        <f t="shared" si="20"/>
        <v>1570</v>
      </c>
      <c r="AM18" s="545">
        <f t="shared" si="21"/>
        <v>348.024</v>
      </c>
      <c r="AN18" s="545">
        <f t="shared" si="22"/>
        <v>348.024</v>
      </c>
      <c r="AO18" s="545">
        <f t="shared" si="23"/>
        <v>1221.9760000000001</v>
      </c>
      <c r="AR18" s="544" t="s">
        <v>346</v>
      </c>
      <c r="AS18" s="545">
        <v>8087875</v>
      </c>
      <c r="AT18" s="545">
        <f t="shared" si="24"/>
        <v>8087.875</v>
      </c>
      <c r="AV18" s="544" t="s">
        <v>528</v>
      </c>
      <c r="AW18" s="545">
        <v>1570000</v>
      </c>
      <c r="AX18" s="545">
        <v>522036</v>
      </c>
      <c r="AY18" s="545">
        <v>522036</v>
      </c>
      <c r="AZ18" s="545">
        <v>1047964</v>
      </c>
      <c r="BA18" s="546">
        <f t="shared" si="25"/>
        <v>1570</v>
      </c>
      <c r="BB18" s="546">
        <f t="shared" si="26"/>
        <v>522.03599999999994</v>
      </c>
      <c r="BC18" s="546">
        <f t="shared" si="27"/>
        <v>522.03599999999994</v>
      </c>
      <c r="BD18" s="546">
        <f t="shared" si="28"/>
        <v>1047.9639999999999</v>
      </c>
      <c r="BG18" s="544" t="s">
        <v>346</v>
      </c>
      <c r="BH18" s="545">
        <v>8005873</v>
      </c>
      <c r="BI18" s="545">
        <f t="shared" si="29"/>
        <v>8005.8729999999996</v>
      </c>
      <c r="BK18" s="544" t="s">
        <v>528</v>
      </c>
      <c r="BL18" s="545">
        <v>1570000</v>
      </c>
      <c r="BM18" s="545">
        <v>696048</v>
      </c>
      <c r="BN18" s="545">
        <v>696048</v>
      </c>
      <c r="BO18" s="545">
        <v>873952</v>
      </c>
      <c r="BP18" s="545">
        <f t="shared" si="30"/>
        <v>1570</v>
      </c>
      <c r="BQ18" s="545">
        <f t="shared" si="31"/>
        <v>696.048</v>
      </c>
      <c r="BR18" s="545">
        <f t="shared" si="32"/>
        <v>696.048</v>
      </c>
      <c r="BS18" s="545">
        <f t="shared" si="33"/>
        <v>873.952</v>
      </c>
      <c r="BV18" s="544" t="s">
        <v>529</v>
      </c>
      <c r="BW18" s="545">
        <v>1660311</v>
      </c>
      <c r="BX18" s="546">
        <f t="shared" si="34"/>
        <v>1660.3109999999999</v>
      </c>
      <c r="BZ18" s="544" t="s">
        <v>528</v>
      </c>
      <c r="CA18" s="545">
        <v>1570000</v>
      </c>
      <c r="CB18" s="545">
        <v>855559</v>
      </c>
      <c r="CC18" s="545">
        <v>855559</v>
      </c>
      <c r="CD18" s="545">
        <v>714441</v>
      </c>
      <c r="CE18" s="545">
        <f t="shared" si="35"/>
        <v>1570</v>
      </c>
      <c r="CF18" s="545">
        <f t="shared" si="36"/>
        <v>855.55899999999997</v>
      </c>
      <c r="CG18" s="545">
        <f t="shared" si="37"/>
        <v>855.55899999999997</v>
      </c>
      <c r="CH18" s="545">
        <f t="shared" si="38"/>
        <v>714.44100000000003</v>
      </c>
      <c r="CK18" s="547" t="s">
        <v>529</v>
      </c>
      <c r="CL18" s="546">
        <v>1396570</v>
      </c>
      <c r="CM18" s="546">
        <f t="shared" si="39"/>
        <v>1396.57</v>
      </c>
      <c r="CP18" s="547" t="s">
        <v>528</v>
      </c>
      <c r="CQ18" s="546">
        <v>1570000</v>
      </c>
      <c r="CR18" s="546">
        <v>1015070</v>
      </c>
      <c r="CS18" s="546">
        <v>1015070</v>
      </c>
      <c r="CT18" s="546">
        <v>554930</v>
      </c>
      <c r="CU18" s="546">
        <f t="shared" si="2"/>
        <v>1570</v>
      </c>
      <c r="CV18" s="546">
        <f t="shared" si="3"/>
        <v>1015.07</v>
      </c>
      <c r="CW18" s="546">
        <f t="shared" si="4"/>
        <v>1015.07</v>
      </c>
      <c r="CX18" s="546">
        <f t="shared" si="5"/>
        <v>554.92999999999995</v>
      </c>
      <c r="CZ18" s="547" t="s">
        <v>529</v>
      </c>
      <c r="DA18" s="546">
        <v>1396752</v>
      </c>
      <c r="DB18" s="546">
        <f t="shared" si="40"/>
        <v>1396.752</v>
      </c>
      <c r="DE18" s="544" t="s">
        <v>528</v>
      </c>
      <c r="DF18" s="545">
        <v>1570000</v>
      </c>
      <c r="DG18" s="545">
        <v>1145579</v>
      </c>
      <c r="DH18" s="545">
        <v>1145579</v>
      </c>
      <c r="DI18" s="545">
        <v>424421</v>
      </c>
      <c r="DJ18" s="546">
        <f t="shared" si="41"/>
        <v>1570</v>
      </c>
      <c r="DK18" s="546">
        <f t="shared" si="42"/>
        <v>1145.579</v>
      </c>
      <c r="DL18" s="546">
        <f t="shared" si="43"/>
        <v>1145.579</v>
      </c>
      <c r="DM18" s="546">
        <f t="shared" si="44"/>
        <v>424.42099999999999</v>
      </c>
      <c r="DP18" s="544" t="s">
        <v>529</v>
      </c>
      <c r="DQ18" s="545">
        <v>1620227</v>
      </c>
      <c r="DR18" s="546">
        <f t="shared" si="45"/>
        <v>1620.2270000000001</v>
      </c>
      <c r="DT18" s="544" t="s">
        <v>528</v>
      </c>
      <c r="DU18" s="545">
        <v>1570000</v>
      </c>
      <c r="DV18" s="545">
        <v>1276088</v>
      </c>
      <c r="DW18" s="545">
        <v>1276088</v>
      </c>
      <c r="DX18" s="545">
        <v>293912</v>
      </c>
      <c r="DY18" s="546">
        <f t="shared" si="46"/>
        <v>1570</v>
      </c>
      <c r="DZ18" s="546">
        <f t="shared" si="47"/>
        <v>1276.088</v>
      </c>
      <c r="EA18" s="546">
        <f t="shared" si="48"/>
        <v>1276.088</v>
      </c>
      <c r="EB18" s="546">
        <f t="shared" si="49"/>
        <v>293.91199999999998</v>
      </c>
      <c r="EE18" s="547" t="s">
        <v>529</v>
      </c>
      <c r="EF18" s="546">
        <v>1301846</v>
      </c>
      <c r="EG18" s="548">
        <f t="shared" si="50"/>
        <v>1301.846</v>
      </c>
      <c r="EI18" s="547" t="s">
        <v>344</v>
      </c>
      <c r="EJ18" s="546">
        <v>21740000</v>
      </c>
      <c r="EK18" s="546">
        <v>16447203</v>
      </c>
      <c r="EL18" s="546">
        <v>16447203</v>
      </c>
      <c r="EM18" s="548">
        <f t="shared" si="51"/>
        <v>21740</v>
      </c>
      <c r="EN18" s="548">
        <f t="shared" si="52"/>
        <v>16447.203000000001</v>
      </c>
      <c r="EO18" s="548">
        <f t="shared" si="53"/>
        <v>16447.203000000001</v>
      </c>
      <c r="ER18" s="544" t="s">
        <v>346</v>
      </c>
      <c r="ES18" s="545">
        <v>7881968</v>
      </c>
      <c r="ET18" s="546">
        <f t="shared" si="54"/>
        <v>7881.9679999999998</v>
      </c>
      <c r="EW18" s="544" t="s">
        <v>344</v>
      </c>
      <c r="EX18" s="545">
        <v>0</v>
      </c>
      <c r="EY18" s="545">
        <v>21740000</v>
      </c>
      <c r="EZ18" s="545">
        <v>17886733</v>
      </c>
      <c r="FA18" s="545">
        <v>17886733</v>
      </c>
      <c r="FB18" s="545">
        <v>3853267</v>
      </c>
      <c r="FC18" s="546">
        <f t="shared" si="55"/>
        <v>0</v>
      </c>
      <c r="FD18" s="546">
        <f t="shared" si="56"/>
        <v>21740</v>
      </c>
      <c r="FE18" s="546">
        <f t="shared" si="57"/>
        <v>17886.733</v>
      </c>
      <c r="FF18" s="546">
        <f t="shared" si="58"/>
        <v>17886.733</v>
      </c>
      <c r="FG18" s="546">
        <f t="shared" si="59"/>
        <v>3853.2669999999998</v>
      </c>
      <c r="FJ18" s="547" t="s">
        <v>529</v>
      </c>
      <c r="FK18" s="546">
        <v>1521560</v>
      </c>
      <c r="FL18" s="548">
        <f t="shared" si="60"/>
        <v>1521.56</v>
      </c>
      <c r="FN18" s="549" t="s">
        <v>528</v>
      </c>
      <c r="FO18" s="550">
        <v>1667615</v>
      </c>
      <c r="FP18" s="550">
        <v>1667615</v>
      </c>
      <c r="FQ18" s="550">
        <v>1667615</v>
      </c>
      <c r="FR18" s="550">
        <f t="shared" si="61"/>
        <v>1667.615</v>
      </c>
      <c r="FS18" s="550">
        <f t="shared" si="62"/>
        <v>1667.615</v>
      </c>
      <c r="FT18" s="550">
        <f t="shared" si="63"/>
        <v>1667.615</v>
      </c>
    </row>
    <row r="19" spans="1:176" ht="15" customHeight="1" x14ac:dyDescent="0.25">
      <c r="A19" s="890" t="s">
        <v>890</v>
      </c>
      <c r="B19" s="544" t="s">
        <v>529</v>
      </c>
      <c r="C19" s="545">
        <v>0</v>
      </c>
      <c r="D19" s="545">
        <v>20170000</v>
      </c>
      <c r="E19" s="545">
        <v>1583356</v>
      </c>
      <c r="F19" s="545">
        <v>18586644</v>
      </c>
      <c r="G19" s="545">
        <v>1583356</v>
      </c>
      <c r="H19" s="546">
        <f t="shared" si="10"/>
        <v>21017.14</v>
      </c>
      <c r="I19" s="546">
        <f t="shared" si="11"/>
        <v>1649.8569520000001</v>
      </c>
      <c r="J19" s="546">
        <f t="shared" si="12"/>
        <v>19367.283048000001</v>
      </c>
      <c r="K19" s="546">
        <f t="shared" si="13"/>
        <v>1649.8569520000001</v>
      </c>
      <c r="O19" s="544" t="s">
        <v>532</v>
      </c>
      <c r="P19" s="545">
        <v>7349855</v>
      </c>
      <c r="Q19" s="546">
        <f t="shared" si="14"/>
        <v>7658.5489099999995</v>
      </c>
      <c r="S19" s="544" t="s">
        <v>529</v>
      </c>
      <c r="T19" s="545">
        <v>20170000</v>
      </c>
      <c r="U19" s="545">
        <v>3053483</v>
      </c>
      <c r="V19" s="545">
        <v>3053483</v>
      </c>
      <c r="W19" s="545">
        <v>17116517</v>
      </c>
      <c r="X19" s="546">
        <f t="shared" si="15"/>
        <v>21017.14</v>
      </c>
      <c r="Y19" s="546">
        <f t="shared" si="16"/>
        <v>3181.7292860000002</v>
      </c>
      <c r="Z19" s="546">
        <f t="shared" si="17"/>
        <v>3181.7292860000002</v>
      </c>
      <c r="AA19" s="546">
        <f t="shared" si="18"/>
        <v>17835.410714000001</v>
      </c>
      <c r="AC19" s="544" t="s">
        <v>531</v>
      </c>
      <c r="AD19" s="545">
        <v>8332503</v>
      </c>
      <c r="AE19" s="546">
        <f t="shared" si="19"/>
        <v>8332.5030000000006</v>
      </c>
      <c r="AG19" s="544" t="s">
        <v>529</v>
      </c>
      <c r="AH19" s="545">
        <v>20170000</v>
      </c>
      <c r="AI19" s="545">
        <v>4771756</v>
      </c>
      <c r="AJ19" s="545">
        <v>4771756</v>
      </c>
      <c r="AK19" s="545">
        <v>15398244</v>
      </c>
      <c r="AL19" s="545">
        <f t="shared" si="20"/>
        <v>20170</v>
      </c>
      <c r="AM19" s="545">
        <f t="shared" si="21"/>
        <v>4771.7560000000003</v>
      </c>
      <c r="AN19" s="545">
        <f t="shared" si="22"/>
        <v>4771.7560000000003</v>
      </c>
      <c r="AO19" s="545">
        <f t="shared" si="23"/>
        <v>15398.244000000001</v>
      </c>
      <c r="AR19" s="544" t="s">
        <v>532</v>
      </c>
      <c r="AS19" s="545">
        <v>7349855</v>
      </c>
      <c r="AT19" s="545">
        <f t="shared" si="24"/>
        <v>7349.8549999999996</v>
      </c>
      <c r="AV19" s="544" t="s">
        <v>529</v>
      </c>
      <c r="AW19" s="545">
        <v>20170000</v>
      </c>
      <c r="AX19" s="545">
        <v>6254045</v>
      </c>
      <c r="AY19" s="545">
        <v>6254045</v>
      </c>
      <c r="AZ19" s="545">
        <v>13915955</v>
      </c>
      <c r="BA19" s="546">
        <f t="shared" si="25"/>
        <v>20170</v>
      </c>
      <c r="BB19" s="546">
        <f t="shared" si="26"/>
        <v>6254.0450000000001</v>
      </c>
      <c r="BC19" s="546">
        <f t="shared" si="27"/>
        <v>6254.0450000000001</v>
      </c>
      <c r="BD19" s="546">
        <f t="shared" si="28"/>
        <v>13915.955</v>
      </c>
      <c r="BG19" s="544" t="s">
        <v>532</v>
      </c>
      <c r="BH19" s="545">
        <v>7349855</v>
      </c>
      <c r="BI19" s="545">
        <f t="shared" si="29"/>
        <v>7349.8549999999996</v>
      </c>
      <c r="BK19" s="544" t="s">
        <v>529</v>
      </c>
      <c r="BL19" s="545">
        <v>20170000</v>
      </c>
      <c r="BM19" s="545">
        <v>7664900</v>
      </c>
      <c r="BN19" s="545">
        <v>7664900</v>
      </c>
      <c r="BO19" s="545">
        <v>12505100</v>
      </c>
      <c r="BP19" s="545">
        <f t="shared" si="30"/>
        <v>20170</v>
      </c>
      <c r="BQ19" s="545">
        <f t="shared" si="31"/>
        <v>7664.9</v>
      </c>
      <c r="BR19" s="545">
        <f t="shared" si="32"/>
        <v>7664.9</v>
      </c>
      <c r="BS19" s="545">
        <f t="shared" si="33"/>
        <v>12505.1</v>
      </c>
      <c r="BV19" s="544" t="s">
        <v>530</v>
      </c>
      <c r="BW19" s="545">
        <v>14959285</v>
      </c>
      <c r="BX19" s="546">
        <f t="shared" si="34"/>
        <v>14959.285</v>
      </c>
      <c r="BZ19" s="544" t="s">
        <v>529</v>
      </c>
      <c r="CA19" s="545">
        <v>20170000</v>
      </c>
      <c r="CB19" s="545">
        <v>9325211</v>
      </c>
      <c r="CC19" s="545">
        <v>9325211</v>
      </c>
      <c r="CD19" s="545">
        <v>10844789</v>
      </c>
      <c r="CE19" s="545">
        <f t="shared" si="35"/>
        <v>20170</v>
      </c>
      <c r="CF19" s="545">
        <f t="shared" si="36"/>
        <v>9325.2109999999993</v>
      </c>
      <c r="CG19" s="545">
        <f t="shared" si="37"/>
        <v>9325.2109999999993</v>
      </c>
      <c r="CH19" s="545">
        <f t="shared" si="38"/>
        <v>10844.789000000001</v>
      </c>
      <c r="CK19" s="547" t="s">
        <v>530</v>
      </c>
      <c r="CL19" s="546">
        <v>-3869</v>
      </c>
      <c r="CM19" s="546">
        <f t="shared" si="39"/>
        <v>-3.8690000000000002</v>
      </c>
      <c r="CP19" s="547" t="s">
        <v>529</v>
      </c>
      <c r="CQ19" s="546">
        <v>20170000</v>
      </c>
      <c r="CR19" s="546">
        <v>10721781</v>
      </c>
      <c r="CS19" s="546">
        <v>10721781</v>
      </c>
      <c r="CT19" s="546">
        <v>9448219</v>
      </c>
      <c r="CU19" s="546">
        <f t="shared" si="2"/>
        <v>20170</v>
      </c>
      <c r="CV19" s="546">
        <f t="shared" si="3"/>
        <v>10721.781000000001</v>
      </c>
      <c r="CW19" s="546">
        <f t="shared" si="4"/>
        <v>10721.781000000001</v>
      </c>
      <c r="CX19" s="546">
        <f t="shared" si="5"/>
        <v>9448.2189999999991</v>
      </c>
      <c r="CZ19" s="547" t="s">
        <v>530</v>
      </c>
      <c r="DA19" s="546">
        <v>-13530</v>
      </c>
      <c r="DB19" s="546">
        <f t="shared" si="40"/>
        <v>-13.53</v>
      </c>
      <c r="DE19" s="544" t="s">
        <v>529</v>
      </c>
      <c r="DF19" s="545">
        <v>20170000</v>
      </c>
      <c r="DG19" s="545">
        <v>12118533</v>
      </c>
      <c r="DH19" s="545">
        <v>12118533</v>
      </c>
      <c r="DI19" s="545">
        <v>8051467</v>
      </c>
      <c r="DJ19" s="546">
        <f t="shared" si="41"/>
        <v>20170</v>
      </c>
      <c r="DK19" s="546">
        <f t="shared" si="42"/>
        <v>12118.532999999999</v>
      </c>
      <c r="DL19" s="546">
        <f t="shared" si="43"/>
        <v>12118.532999999999</v>
      </c>
      <c r="DM19" s="546">
        <f t="shared" si="44"/>
        <v>8051.4669999999996</v>
      </c>
      <c r="DP19" s="544" t="s">
        <v>530</v>
      </c>
      <c r="DQ19" s="545">
        <v>12889161</v>
      </c>
      <c r="DR19" s="546">
        <f t="shared" si="45"/>
        <v>12889.161</v>
      </c>
      <c r="DT19" s="544" t="s">
        <v>529</v>
      </c>
      <c r="DU19" s="545">
        <v>20170000</v>
      </c>
      <c r="DV19" s="545">
        <v>13738760</v>
      </c>
      <c r="DW19" s="545">
        <v>13738760</v>
      </c>
      <c r="DX19" s="545">
        <v>6431240</v>
      </c>
      <c r="DY19" s="546">
        <f t="shared" si="46"/>
        <v>20170</v>
      </c>
      <c r="DZ19" s="546">
        <f t="shared" si="47"/>
        <v>13738.76</v>
      </c>
      <c r="EA19" s="546">
        <f t="shared" si="48"/>
        <v>13738.76</v>
      </c>
      <c r="EB19" s="546">
        <f t="shared" si="49"/>
        <v>6431.24</v>
      </c>
      <c r="EE19" s="547" t="s">
        <v>346</v>
      </c>
      <c r="EF19" s="546">
        <v>8272527</v>
      </c>
      <c r="EG19" s="548">
        <f t="shared" si="50"/>
        <v>8272.527</v>
      </c>
      <c r="EI19" s="547" t="s">
        <v>528</v>
      </c>
      <c r="EJ19" s="546">
        <v>1570000</v>
      </c>
      <c r="EK19" s="546">
        <v>1406597</v>
      </c>
      <c r="EL19" s="546">
        <v>1406597</v>
      </c>
      <c r="EM19" s="548">
        <f t="shared" si="51"/>
        <v>1570</v>
      </c>
      <c r="EN19" s="548">
        <f t="shared" si="52"/>
        <v>1406.597</v>
      </c>
      <c r="EO19" s="548">
        <f t="shared" si="53"/>
        <v>1406.597</v>
      </c>
      <c r="ER19" s="544" t="s">
        <v>532</v>
      </c>
      <c r="ES19" s="545">
        <v>7349855</v>
      </c>
      <c r="ET19" s="546">
        <f t="shared" si="54"/>
        <v>7349.8549999999996</v>
      </c>
      <c r="EW19" s="544" t="s">
        <v>528</v>
      </c>
      <c r="EX19" s="545">
        <v>0</v>
      </c>
      <c r="EY19" s="545">
        <v>1570000</v>
      </c>
      <c r="EZ19" s="545">
        <v>1537106</v>
      </c>
      <c r="FA19" s="545">
        <v>1537106</v>
      </c>
      <c r="FB19" s="545">
        <v>32894</v>
      </c>
      <c r="FC19" s="546">
        <f t="shared" si="55"/>
        <v>0</v>
      </c>
      <c r="FD19" s="546">
        <f t="shared" si="56"/>
        <v>1570</v>
      </c>
      <c r="FE19" s="546">
        <f t="shared" si="57"/>
        <v>1537.106</v>
      </c>
      <c r="FF19" s="546">
        <f t="shared" si="58"/>
        <v>1537.106</v>
      </c>
      <c r="FG19" s="546">
        <f t="shared" si="59"/>
        <v>32.893999999999998</v>
      </c>
      <c r="FJ19" s="547" t="s">
        <v>530</v>
      </c>
      <c r="FK19" s="546">
        <v>13012587</v>
      </c>
      <c r="FL19" s="548">
        <f t="shared" si="60"/>
        <v>13012.587</v>
      </c>
      <c r="FN19" s="549" t="s">
        <v>529</v>
      </c>
      <c r="FO19" s="550">
        <v>17872725</v>
      </c>
      <c r="FP19" s="550">
        <v>17871187</v>
      </c>
      <c r="FQ19" s="550">
        <v>17871187</v>
      </c>
      <c r="FR19" s="550">
        <f t="shared" si="61"/>
        <v>17872.724999999999</v>
      </c>
      <c r="FS19" s="550">
        <f t="shared" si="62"/>
        <v>17871.187000000002</v>
      </c>
      <c r="FT19" s="550">
        <f t="shared" si="63"/>
        <v>17871.187000000002</v>
      </c>
    </row>
    <row r="20" spans="1:176" ht="15" customHeight="1" x14ac:dyDescent="0.25">
      <c r="A20" s="890" t="s">
        <v>889</v>
      </c>
      <c r="B20" s="544" t="s">
        <v>530</v>
      </c>
      <c r="C20" s="545">
        <v>0</v>
      </c>
      <c r="D20" s="545">
        <v>58750000</v>
      </c>
      <c r="E20" s="545">
        <v>0</v>
      </c>
      <c r="F20" s="545">
        <v>58750000</v>
      </c>
      <c r="G20" s="545">
        <v>0</v>
      </c>
      <c r="H20" s="546">
        <f t="shared" si="10"/>
        <v>61217.5</v>
      </c>
      <c r="I20" s="546">
        <f t="shared" si="11"/>
        <v>0</v>
      </c>
      <c r="J20" s="546">
        <f t="shared" si="12"/>
        <v>61217.5</v>
      </c>
      <c r="K20" s="546">
        <f t="shared" si="13"/>
        <v>0</v>
      </c>
      <c r="O20" s="544" t="s">
        <v>584</v>
      </c>
      <c r="P20" s="545">
        <v>820022</v>
      </c>
      <c r="Q20" s="546">
        <f t="shared" si="14"/>
        <v>854.46292400000004</v>
      </c>
      <c r="S20" s="544" t="s">
        <v>530</v>
      </c>
      <c r="T20" s="545">
        <v>58750000</v>
      </c>
      <c r="U20" s="545">
        <v>0</v>
      </c>
      <c r="V20" s="545">
        <v>0</v>
      </c>
      <c r="W20" s="545">
        <v>58750000</v>
      </c>
      <c r="X20" s="546">
        <f t="shared" si="15"/>
        <v>61217.5</v>
      </c>
      <c r="Y20" s="546">
        <f t="shared" si="16"/>
        <v>0</v>
      </c>
      <c r="Z20" s="546">
        <f t="shared" si="17"/>
        <v>0</v>
      </c>
      <c r="AA20" s="546">
        <f t="shared" si="18"/>
        <v>61217.5</v>
      </c>
      <c r="AC20" s="544" t="s">
        <v>345</v>
      </c>
      <c r="AD20" s="545">
        <v>7440567</v>
      </c>
      <c r="AE20" s="546">
        <f t="shared" si="19"/>
        <v>7440.567</v>
      </c>
      <c r="AG20" s="544" t="s">
        <v>530</v>
      </c>
      <c r="AH20" s="545">
        <v>58750000</v>
      </c>
      <c r="AI20" s="545">
        <v>15773070</v>
      </c>
      <c r="AJ20" s="545">
        <v>15773070</v>
      </c>
      <c r="AK20" s="545">
        <v>42976930</v>
      </c>
      <c r="AL20" s="545">
        <f t="shared" si="20"/>
        <v>58750</v>
      </c>
      <c r="AM20" s="545">
        <f t="shared" si="21"/>
        <v>15773.07</v>
      </c>
      <c r="AN20" s="545">
        <f t="shared" si="22"/>
        <v>15773.07</v>
      </c>
      <c r="AO20" s="545">
        <f t="shared" si="23"/>
        <v>42976.93</v>
      </c>
      <c r="AR20" s="544" t="s">
        <v>584</v>
      </c>
      <c r="AS20" s="545">
        <v>738020</v>
      </c>
      <c r="AT20" s="545">
        <f t="shared" si="24"/>
        <v>738.02</v>
      </c>
      <c r="AV20" s="544" t="s">
        <v>530</v>
      </c>
      <c r="AW20" s="545">
        <v>58750000</v>
      </c>
      <c r="AX20" s="545">
        <v>15773070</v>
      </c>
      <c r="AY20" s="545">
        <v>15773070</v>
      </c>
      <c r="AZ20" s="545">
        <v>42976930</v>
      </c>
      <c r="BA20" s="546">
        <f t="shared" si="25"/>
        <v>58750</v>
      </c>
      <c r="BB20" s="546">
        <f t="shared" si="26"/>
        <v>15773.07</v>
      </c>
      <c r="BC20" s="546">
        <f t="shared" si="27"/>
        <v>15773.07</v>
      </c>
      <c r="BD20" s="546">
        <f t="shared" si="28"/>
        <v>42976.93</v>
      </c>
      <c r="BG20" s="544" t="s">
        <v>584</v>
      </c>
      <c r="BH20" s="545">
        <v>656018</v>
      </c>
      <c r="BI20" s="545">
        <f t="shared" si="29"/>
        <v>656.01800000000003</v>
      </c>
      <c r="BK20" s="544" t="s">
        <v>530</v>
      </c>
      <c r="BL20" s="545">
        <v>58750000</v>
      </c>
      <c r="BM20" s="545">
        <v>15773070</v>
      </c>
      <c r="BN20" s="545">
        <v>15773070</v>
      </c>
      <c r="BO20" s="545">
        <v>42976930</v>
      </c>
      <c r="BP20" s="545">
        <f t="shared" si="30"/>
        <v>58750</v>
      </c>
      <c r="BQ20" s="545">
        <f t="shared" si="31"/>
        <v>15773.07</v>
      </c>
      <c r="BR20" s="545">
        <f t="shared" si="32"/>
        <v>15773.07</v>
      </c>
      <c r="BS20" s="545">
        <f t="shared" si="33"/>
        <v>42976.93</v>
      </c>
      <c r="BV20" s="544" t="s">
        <v>531</v>
      </c>
      <c r="BW20" s="545">
        <v>7936919</v>
      </c>
      <c r="BX20" s="546">
        <f t="shared" si="34"/>
        <v>7936.9189999999999</v>
      </c>
      <c r="BZ20" s="544" t="s">
        <v>530</v>
      </c>
      <c r="CA20" s="545">
        <v>58750000</v>
      </c>
      <c r="CB20" s="545">
        <v>30732355</v>
      </c>
      <c r="CC20" s="545">
        <v>30732355</v>
      </c>
      <c r="CD20" s="545">
        <v>28017645</v>
      </c>
      <c r="CE20" s="545">
        <f t="shared" si="35"/>
        <v>58750</v>
      </c>
      <c r="CF20" s="545">
        <f t="shared" si="36"/>
        <v>30732.355</v>
      </c>
      <c r="CG20" s="545">
        <f t="shared" si="37"/>
        <v>30732.355</v>
      </c>
      <c r="CH20" s="545">
        <f t="shared" si="38"/>
        <v>28017.645</v>
      </c>
      <c r="CK20" s="547" t="s">
        <v>531</v>
      </c>
      <c r="CL20" s="546">
        <v>-1935</v>
      </c>
      <c r="CM20" s="546">
        <f t="shared" si="39"/>
        <v>-1.9350000000000001</v>
      </c>
      <c r="CP20" s="547" t="s">
        <v>530</v>
      </c>
      <c r="CQ20" s="546">
        <v>58750000</v>
      </c>
      <c r="CR20" s="546">
        <v>30728486</v>
      </c>
      <c r="CS20" s="546">
        <v>30728486</v>
      </c>
      <c r="CT20" s="546">
        <v>28021514</v>
      </c>
      <c r="CU20" s="546">
        <f t="shared" si="2"/>
        <v>58750</v>
      </c>
      <c r="CV20" s="546">
        <f t="shared" si="3"/>
        <v>30728.486000000001</v>
      </c>
      <c r="CW20" s="546">
        <f t="shared" si="4"/>
        <v>30728.486000000001</v>
      </c>
      <c r="CX20" s="546">
        <f t="shared" si="5"/>
        <v>28021.513999999999</v>
      </c>
      <c r="CZ20" s="547" t="s">
        <v>531</v>
      </c>
      <c r="DA20" s="546">
        <v>-6765</v>
      </c>
      <c r="DB20" s="546">
        <f t="shared" si="40"/>
        <v>-6.7649999999999997</v>
      </c>
      <c r="DE20" s="544" t="s">
        <v>530</v>
      </c>
      <c r="DF20" s="545">
        <v>58750000</v>
      </c>
      <c r="DG20" s="545">
        <v>30714956</v>
      </c>
      <c r="DH20" s="545">
        <v>30714956</v>
      </c>
      <c r="DI20" s="545">
        <v>28035044</v>
      </c>
      <c r="DJ20" s="546">
        <f t="shared" si="41"/>
        <v>58750</v>
      </c>
      <c r="DK20" s="546">
        <f t="shared" si="42"/>
        <v>30714.955999999998</v>
      </c>
      <c r="DL20" s="546">
        <f t="shared" si="43"/>
        <v>30714.955999999998</v>
      </c>
      <c r="DM20" s="546">
        <f t="shared" si="44"/>
        <v>28035.044000000002</v>
      </c>
      <c r="DP20" s="544" t="s">
        <v>531</v>
      </c>
      <c r="DQ20" s="545">
        <v>6930147</v>
      </c>
      <c r="DR20" s="546">
        <f t="shared" si="45"/>
        <v>6930.1469999999999</v>
      </c>
      <c r="DT20" s="544" t="s">
        <v>530</v>
      </c>
      <c r="DU20" s="545">
        <v>58750000</v>
      </c>
      <c r="DV20" s="545">
        <v>43604117</v>
      </c>
      <c r="DW20" s="545">
        <v>43604117</v>
      </c>
      <c r="DX20" s="545">
        <v>15145883</v>
      </c>
      <c r="DY20" s="546">
        <f t="shared" si="46"/>
        <v>58750</v>
      </c>
      <c r="DZ20" s="546">
        <f t="shared" si="47"/>
        <v>43604.116999999998</v>
      </c>
      <c r="EA20" s="546">
        <f t="shared" si="48"/>
        <v>43604.116999999998</v>
      </c>
      <c r="EB20" s="546">
        <f t="shared" si="49"/>
        <v>15145.883</v>
      </c>
      <c r="EE20" s="547" t="s">
        <v>532</v>
      </c>
      <c r="EF20" s="546">
        <v>7349510</v>
      </c>
      <c r="EG20" s="548">
        <f t="shared" si="50"/>
        <v>7349.51</v>
      </c>
      <c r="EI20" s="547" t="s">
        <v>529</v>
      </c>
      <c r="EJ20" s="546">
        <v>20170000</v>
      </c>
      <c r="EK20" s="546">
        <v>15040606</v>
      </c>
      <c r="EL20" s="546">
        <v>15040606</v>
      </c>
      <c r="EM20" s="548">
        <f t="shared" si="51"/>
        <v>20170</v>
      </c>
      <c r="EN20" s="548">
        <f t="shared" si="52"/>
        <v>15040.606</v>
      </c>
      <c r="EO20" s="548">
        <f t="shared" si="53"/>
        <v>15040.606</v>
      </c>
      <c r="ER20" s="544" t="s">
        <v>584</v>
      </c>
      <c r="ES20" s="545">
        <v>532113</v>
      </c>
      <c r="ET20" s="546">
        <f t="shared" si="54"/>
        <v>532.11300000000006</v>
      </c>
      <c r="EW20" s="544" t="s">
        <v>529</v>
      </c>
      <c r="EX20" s="545">
        <v>0</v>
      </c>
      <c r="EY20" s="545">
        <v>20170000</v>
      </c>
      <c r="EZ20" s="545">
        <v>16349627</v>
      </c>
      <c r="FA20" s="545">
        <v>16349627</v>
      </c>
      <c r="FB20" s="545">
        <v>3820373</v>
      </c>
      <c r="FC20" s="546">
        <f t="shared" si="55"/>
        <v>0</v>
      </c>
      <c r="FD20" s="546">
        <f t="shared" si="56"/>
        <v>20170</v>
      </c>
      <c r="FE20" s="546">
        <f t="shared" si="57"/>
        <v>16349.627</v>
      </c>
      <c r="FF20" s="546">
        <f t="shared" si="58"/>
        <v>16349.627</v>
      </c>
      <c r="FG20" s="546">
        <f t="shared" si="59"/>
        <v>3820.373</v>
      </c>
      <c r="FJ20" s="547" t="s">
        <v>531</v>
      </c>
      <c r="FK20" s="546">
        <v>6995521</v>
      </c>
      <c r="FL20" s="548">
        <f t="shared" si="60"/>
        <v>6995.5209999999997</v>
      </c>
      <c r="FN20" s="549" t="s">
        <v>530</v>
      </c>
      <c r="FO20" s="550">
        <v>56619780</v>
      </c>
      <c r="FP20" s="550">
        <v>56616704</v>
      </c>
      <c r="FQ20" s="550">
        <v>56616704</v>
      </c>
      <c r="FR20" s="550">
        <f t="shared" si="61"/>
        <v>56619.78</v>
      </c>
      <c r="FS20" s="550">
        <f t="shared" si="62"/>
        <v>56616.703999999998</v>
      </c>
      <c r="FT20" s="550">
        <f t="shared" si="63"/>
        <v>56616.703999999998</v>
      </c>
    </row>
    <row r="21" spans="1:176" ht="15" customHeight="1" x14ac:dyDescent="0.25">
      <c r="A21" s="890" t="s">
        <v>890</v>
      </c>
      <c r="B21" s="544" t="s">
        <v>531</v>
      </c>
      <c r="C21" s="545">
        <v>0</v>
      </c>
      <c r="D21" s="545">
        <v>30600000</v>
      </c>
      <c r="E21" s="545">
        <v>0</v>
      </c>
      <c r="F21" s="545">
        <v>30600000</v>
      </c>
      <c r="G21" s="545">
        <v>0</v>
      </c>
      <c r="H21" s="546">
        <f t="shared" si="10"/>
        <v>31885.200000000001</v>
      </c>
      <c r="I21" s="546">
        <f t="shared" si="11"/>
        <v>0</v>
      </c>
      <c r="J21" s="546">
        <f t="shared" si="12"/>
        <v>31885.200000000001</v>
      </c>
      <c r="K21" s="546">
        <f t="shared" si="13"/>
        <v>0</v>
      </c>
      <c r="O21" s="544" t="s">
        <v>350</v>
      </c>
      <c r="P21" s="545">
        <v>1136207264</v>
      </c>
      <c r="Q21" s="546">
        <f t="shared" si="14"/>
        <v>1183927.969088</v>
      </c>
      <c r="S21" s="544" t="s">
        <v>531</v>
      </c>
      <c r="T21" s="545">
        <v>30600000</v>
      </c>
      <c r="U21" s="545">
        <v>0</v>
      </c>
      <c r="V21" s="545">
        <v>0</v>
      </c>
      <c r="W21" s="545">
        <v>30600000</v>
      </c>
      <c r="X21" s="546">
        <f t="shared" si="15"/>
        <v>31885.200000000001</v>
      </c>
      <c r="Y21" s="546">
        <f t="shared" si="16"/>
        <v>0</v>
      </c>
      <c r="Z21" s="546">
        <f t="shared" si="17"/>
        <v>0</v>
      </c>
      <c r="AA21" s="546">
        <f t="shared" si="18"/>
        <v>31885.200000000001</v>
      </c>
      <c r="AC21" s="544" t="s">
        <v>346</v>
      </c>
      <c r="AD21" s="545">
        <v>7448258</v>
      </c>
      <c r="AE21" s="546">
        <f t="shared" si="19"/>
        <v>7448.2579999999998</v>
      </c>
      <c r="AG21" s="544" t="s">
        <v>531</v>
      </c>
      <c r="AH21" s="545">
        <v>30600000</v>
      </c>
      <c r="AI21" s="545">
        <v>8332503</v>
      </c>
      <c r="AJ21" s="545">
        <v>8332503</v>
      </c>
      <c r="AK21" s="545">
        <v>22267497</v>
      </c>
      <c r="AL21" s="545">
        <f t="shared" si="20"/>
        <v>30600</v>
      </c>
      <c r="AM21" s="545">
        <f t="shared" si="21"/>
        <v>8332.5030000000006</v>
      </c>
      <c r="AN21" s="545">
        <f t="shared" si="22"/>
        <v>8332.5030000000006</v>
      </c>
      <c r="AO21" s="545">
        <f t="shared" si="23"/>
        <v>22267.496999999999</v>
      </c>
      <c r="AR21" s="544" t="s">
        <v>350</v>
      </c>
      <c r="AS21" s="545">
        <v>1165209570</v>
      </c>
      <c r="AT21" s="545">
        <f t="shared" si="24"/>
        <v>1165209.57</v>
      </c>
      <c r="AV21" s="544" t="s">
        <v>531</v>
      </c>
      <c r="AW21" s="545">
        <v>30600000</v>
      </c>
      <c r="AX21" s="545">
        <v>8332503</v>
      </c>
      <c r="AY21" s="545">
        <v>8332503</v>
      </c>
      <c r="AZ21" s="545">
        <v>22267497</v>
      </c>
      <c r="BA21" s="546">
        <f t="shared" si="25"/>
        <v>30600</v>
      </c>
      <c r="BB21" s="546">
        <f t="shared" si="26"/>
        <v>8332.5030000000006</v>
      </c>
      <c r="BC21" s="546">
        <f t="shared" si="27"/>
        <v>8332.5030000000006</v>
      </c>
      <c r="BD21" s="546">
        <f t="shared" si="28"/>
        <v>22267.496999999999</v>
      </c>
      <c r="BG21" s="544" t="s">
        <v>350</v>
      </c>
      <c r="BH21" s="545">
        <v>1156670301</v>
      </c>
      <c r="BI21" s="545">
        <f t="shared" si="29"/>
        <v>1156670.301</v>
      </c>
      <c r="BK21" s="544" t="s">
        <v>531</v>
      </c>
      <c r="BL21" s="545">
        <v>30600000</v>
      </c>
      <c r="BM21" s="545">
        <v>8332503</v>
      </c>
      <c r="BN21" s="545">
        <v>8332503</v>
      </c>
      <c r="BO21" s="545">
        <v>22267497</v>
      </c>
      <c r="BP21" s="545">
        <f t="shared" si="30"/>
        <v>30600</v>
      </c>
      <c r="BQ21" s="545">
        <f t="shared" si="31"/>
        <v>8332.5030000000006</v>
      </c>
      <c r="BR21" s="545">
        <f t="shared" si="32"/>
        <v>8332.5030000000006</v>
      </c>
      <c r="BS21" s="545">
        <f t="shared" si="33"/>
        <v>22267.496999999999</v>
      </c>
      <c r="BV21" s="544" t="s">
        <v>345</v>
      </c>
      <c r="BW21" s="545">
        <v>7022366</v>
      </c>
      <c r="BX21" s="546">
        <f t="shared" si="34"/>
        <v>7022.366</v>
      </c>
      <c r="BZ21" s="544" t="s">
        <v>531</v>
      </c>
      <c r="CA21" s="545">
        <v>30600000</v>
      </c>
      <c r="CB21" s="545">
        <v>16269422</v>
      </c>
      <c r="CC21" s="545">
        <v>16269422</v>
      </c>
      <c r="CD21" s="545">
        <v>14330578</v>
      </c>
      <c r="CE21" s="545">
        <f t="shared" si="35"/>
        <v>30600</v>
      </c>
      <c r="CF21" s="545">
        <f t="shared" si="36"/>
        <v>16269.422</v>
      </c>
      <c r="CG21" s="545">
        <f t="shared" si="37"/>
        <v>16269.422</v>
      </c>
      <c r="CH21" s="545">
        <f t="shared" si="38"/>
        <v>14330.578</v>
      </c>
      <c r="CK21" s="547" t="s">
        <v>345</v>
      </c>
      <c r="CL21" s="546">
        <v>-1934</v>
      </c>
      <c r="CM21" s="546">
        <f t="shared" si="39"/>
        <v>-1.9339999999999999</v>
      </c>
      <c r="CP21" s="547" t="s">
        <v>531</v>
      </c>
      <c r="CQ21" s="546">
        <v>30600000</v>
      </c>
      <c r="CR21" s="546">
        <v>16267487</v>
      </c>
      <c r="CS21" s="546">
        <v>16267487</v>
      </c>
      <c r="CT21" s="546">
        <v>14332513</v>
      </c>
      <c r="CU21" s="546">
        <f t="shared" si="2"/>
        <v>30600</v>
      </c>
      <c r="CV21" s="546">
        <f t="shared" si="3"/>
        <v>16267.486999999999</v>
      </c>
      <c r="CW21" s="546">
        <f t="shared" si="4"/>
        <v>16267.486999999999</v>
      </c>
      <c r="CX21" s="546">
        <f t="shared" si="5"/>
        <v>14332.513000000001</v>
      </c>
      <c r="CZ21" s="547" t="s">
        <v>345</v>
      </c>
      <c r="DA21" s="546">
        <v>-6765</v>
      </c>
      <c r="DB21" s="546">
        <f t="shared" si="40"/>
        <v>-6.7649999999999997</v>
      </c>
      <c r="DE21" s="544" t="s">
        <v>531</v>
      </c>
      <c r="DF21" s="545">
        <v>30600000</v>
      </c>
      <c r="DG21" s="545">
        <v>16260722</v>
      </c>
      <c r="DH21" s="545">
        <v>16260722</v>
      </c>
      <c r="DI21" s="545">
        <v>14339278</v>
      </c>
      <c r="DJ21" s="546">
        <f t="shared" si="41"/>
        <v>30600</v>
      </c>
      <c r="DK21" s="546">
        <f t="shared" si="42"/>
        <v>16260.722</v>
      </c>
      <c r="DL21" s="546">
        <f t="shared" si="43"/>
        <v>16260.722</v>
      </c>
      <c r="DM21" s="546">
        <f t="shared" si="44"/>
        <v>14339.278</v>
      </c>
      <c r="DP21" s="544" t="s">
        <v>345</v>
      </c>
      <c r="DQ21" s="545">
        <v>5959014</v>
      </c>
      <c r="DR21" s="546">
        <f t="shared" si="45"/>
        <v>5959.0140000000001</v>
      </c>
      <c r="DT21" s="544" t="s">
        <v>531</v>
      </c>
      <c r="DU21" s="545">
        <v>30600000</v>
      </c>
      <c r="DV21" s="545">
        <v>23190869</v>
      </c>
      <c r="DW21" s="545">
        <v>23190869</v>
      </c>
      <c r="DX21" s="545">
        <v>7409131</v>
      </c>
      <c r="DY21" s="546">
        <f t="shared" si="46"/>
        <v>30600</v>
      </c>
      <c r="DZ21" s="546">
        <f t="shared" si="47"/>
        <v>23190.868999999999</v>
      </c>
      <c r="EA21" s="546">
        <f t="shared" si="48"/>
        <v>23190.868999999999</v>
      </c>
      <c r="EB21" s="546">
        <f t="shared" si="49"/>
        <v>7409.1310000000003</v>
      </c>
      <c r="EE21" s="547" t="s">
        <v>584</v>
      </c>
      <c r="EF21" s="546">
        <v>923017</v>
      </c>
      <c r="EG21" s="548">
        <f t="shared" si="50"/>
        <v>923.01700000000005</v>
      </c>
      <c r="EI21" s="547" t="s">
        <v>530</v>
      </c>
      <c r="EJ21" s="546">
        <v>58750000</v>
      </c>
      <c r="EK21" s="546">
        <v>43604117</v>
      </c>
      <c r="EL21" s="546">
        <v>43604117</v>
      </c>
      <c r="EM21" s="548">
        <f t="shared" si="51"/>
        <v>58750</v>
      </c>
      <c r="EN21" s="548">
        <f t="shared" si="52"/>
        <v>43604.116999999998</v>
      </c>
      <c r="EO21" s="548">
        <f t="shared" si="53"/>
        <v>43604.116999999998</v>
      </c>
      <c r="ER21" s="544" t="s">
        <v>350</v>
      </c>
      <c r="ES21" s="545">
        <v>1172015908</v>
      </c>
      <c r="ET21" s="546">
        <f t="shared" si="54"/>
        <v>1172015.9080000001</v>
      </c>
      <c r="EW21" s="544" t="s">
        <v>530</v>
      </c>
      <c r="EX21" s="545">
        <v>0</v>
      </c>
      <c r="EY21" s="545">
        <v>58750000</v>
      </c>
      <c r="EZ21" s="545">
        <v>43604117</v>
      </c>
      <c r="FA21" s="545">
        <v>43604117</v>
      </c>
      <c r="FB21" s="545">
        <v>15145883</v>
      </c>
      <c r="FC21" s="546">
        <f t="shared" si="55"/>
        <v>0</v>
      </c>
      <c r="FD21" s="546">
        <f t="shared" si="56"/>
        <v>58750</v>
      </c>
      <c r="FE21" s="546">
        <f t="shared" si="57"/>
        <v>43604.116999999998</v>
      </c>
      <c r="FF21" s="546">
        <f t="shared" si="58"/>
        <v>43604.116999999998</v>
      </c>
      <c r="FG21" s="546">
        <f t="shared" si="59"/>
        <v>15145.883</v>
      </c>
      <c r="FJ21" s="547" t="s">
        <v>345</v>
      </c>
      <c r="FK21" s="546">
        <v>6017066</v>
      </c>
      <c r="FL21" s="548">
        <f t="shared" si="60"/>
        <v>6017.0659999999998</v>
      </c>
      <c r="FN21" s="549" t="s">
        <v>531</v>
      </c>
      <c r="FO21" s="550">
        <v>30187928</v>
      </c>
      <c r="FP21" s="550">
        <v>30186390</v>
      </c>
      <c r="FQ21" s="550">
        <v>30186390</v>
      </c>
      <c r="FR21" s="550">
        <f t="shared" si="61"/>
        <v>30187.928</v>
      </c>
      <c r="FS21" s="550">
        <f t="shared" si="62"/>
        <v>30186.39</v>
      </c>
      <c r="FT21" s="550">
        <f t="shared" si="63"/>
        <v>30186.39</v>
      </c>
    </row>
    <row r="22" spans="1:176" ht="15" customHeight="1" x14ac:dyDescent="0.25">
      <c r="A22" s="890" t="s">
        <v>890</v>
      </c>
      <c r="B22" s="544" t="s">
        <v>345</v>
      </c>
      <c r="C22" s="545">
        <v>0</v>
      </c>
      <c r="D22" s="545">
        <v>28150000</v>
      </c>
      <c r="E22" s="545">
        <v>0</v>
      </c>
      <c r="F22" s="545">
        <v>28150000</v>
      </c>
      <c r="G22" s="545">
        <v>0</v>
      </c>
      <c r="H22" s="546">
        <f t="shared" si="10"/>
        <v>29332.3</v>
      </c>
      <c r="I22" s="546">
        <f t="shared" si="11"/>
        <v>0</v>
      </c>
      <c r="J22" s="546">
        <f t="shared" si="12"/>
        <v>29332.3</v>
      </c>
      <c r="K22" s="546">
        <f t="shared" si="13"/>
        <v>0</v>
      </c>
      <c r="O22" s="544" t="s">
        <v>351</v>
      </c>
      <c r="P22" s="545">
        <v>1058999566</v>
      </c>
      <c r="Q22" s="546">
        <f t="shared" si="14"/>
        <v>1103477.5477720001</v>
      </c>
      <c r="S22" s="544" t="s">
        <v>345</v>
      </c>
      <c r="T22" s="545">
        <v>28150000</v>
      </c>
      <c r="U22" s="545">
        <v>0</v>
      </c>
      <c r="V22" s="545">
        <v>0</v>
      </c>
      <c r="W22" s="545">
        <v>28150000</v>
      </c>
      <c r="X22" s="546">
        <f t="shared" si="15"/>
        <v>29332.3</v>
      </c>
      <c r="Y22" s="546">
        <f t="shared" si="16"/>
        <v>0</v>
      </c>
      <c r="Z22" s="546">
        <f t="shared" si="17"/>
        <v>0</v>
      </c>
      <c r="AA22" s="546">
        <f t="shared" si="18"/>
        <v>29332.3</v>
      </c>
      <c r="AC22" s="544" t="s">
        <v>532</v>
      </c>
      <c r="AD22" s="545">
        <v>7349855</v>
      </c>
      <c r="AE22" s="546">
        <f t="shared" si="19"/>
        <v>7349.8549999999996</v>
      </c>
      <c r="AG22" s="544" t="s">
        <v>345</v>
      </c>
      <c r="AH22" s="545">
        <v>28150000</v>
      </c>
      <c r="AI22" s="545">
        <v>7440567</v>
      </c>
      <c r="AJ22" s="545">
        <v>7440567</v>
      </c>
      <c r="AK22" s="545">
        <v>20709433</v>
      </c>
      <c r="AL22" s="545">
        <f t="shared" si="20"/>
        <v>28150</v>
      </c>
      <c r="AM22" s="545">
        <f t="shared" si="21"/>
        <v>7440.567</v>
      </c>
      <c r="AN22" s="545">
        <f t="shared" si="22"/>
        <v>7440.567</v>
      </c>
      <c r="AO22" s="545">
        <f t="shared" si="23"/>
        <v>20709.433000000001</v>
      </c>
      <c r="AR22" s="544" t="s">
        <v>351</v>
      </c>
      <c r="AS22" s="545">
        <v>1083092522</v>
      </c>
      <c r="AT22" s="545">
        <f t="shared" si="24"/>
        <v>1083092.5220000001</v>
      </c>
      <c r="AV22" s="544" t="s">
        <v>345</v>
      </c>
      <c r="AW22" s="545">
        <v>28150000</v>
      </c>
      <c r="AX22" s="545">
        <v>7440567</v>
      </c>
      <c r="AY22" s="545">
        <v>7440567</v>
      </c>
      <c r="AZ22" s="545">
        <v>20709433</v>
      </c>
      <c r="BA22" s="546">
        <f t="shared" si="25"/>
        <v>28150</v>
      </c>
      <c r="BB22" s="546">
        <f t="shared" si="26"/>
        <v>7440.567</v>
      </c>
      <c r="BC22" s="546">
        <f t="shared" si="27"/>
        <v>7440.567</v>
      </c>
      <c r="BD22" s="546">
        <f t="shared" si="28"/>
        <v>20709.433000000001</v>
      </c>
      <c r="BG22" s="544" t="s">
        <v>351</v>
      </c>
      <c r="BH22" s="545">
        <v>1079853571</v>
      </c>
      <c r="BI22" s="545">
        <f t="shared" si="29"/>
        <v>1079853.571</v>
      </c>
      <c r="BK22" s="544" t="s">
        <v>345</v>
      </c>
      <c r="BL22" s="545">
        <v>28150000</v>
      </c>
      <c r="BM22" s="545">
        <v>7440567</v>
      </c>
      <c r="BN22" s="545">
        <v>7440567</v>
      </c>
      <c r="BO22" s="545">
        <v>20709433</v>
      </c>
      <c r="BP22" s="545">
        <f t="shared" si="30"/>
        <v>28150</v>
      </c>
      <c r="BQ22" s="545">
        <f t="shared" si="31"/>
        <v>7440.567</v>
      </c>
      <c r="BR22" s="545">
        <f t="shared" si="32"/>
        <v>7440.567</v>
      </c>
      <c r="BS22" s="545">
        <f t="shared" si="33"/>
        <v>20709.433000000001</v>
      </c>
      <c r="BV22" s="544" t="s">
        <v>346</v>
      </c>
      <c r="BW22" s="545">
        <v>8104275</v>
      </c>
      <c r="BX22" s="546">
        <f t="shared" si="34"/>
        <v>8104.2749999999996</v>
      </c>
      <c r="BZ22" s="544" t="s">
        <v>345</v>
      </c>
      <c r="CA22" s="545">
        <v>28150000</v>
      </c>
      <c r="CB22" s="545">
        <v>14462933</v>
      </c>
      <c r="CC22" s="545">
        <v>14462933</v>
      </c>
      <c r="CD22" s="545">
        <v>13687067</v>
      </c>
      <c r="CE22" s="545">
        <f t="shared" si="35"/>
        <v>28150</v>
      </c>
      <c r="CF22" s="545">
        <f t="shared" si="36"/>
        <v>14462.933000000001</v>
      </c>
      <c r="CG22" s="545">
        <f t="shared" si="37"/>
        <v>14462.933000000001</v>
      </c>
      <c r="CH22" s="545">
        <f t="shared" si="38"/>
        <v>13687.066999999999</v>
      </c>
      <c r="CK22" s="547" t="s">
        <v>346</v>
      </c>
      <c r="CL22" s="546">
        <v>7759408</v>
      </c>
      <c r="CM22" s="546">
        <f t="shared" si="39"/>
        <v>7759.4080000000004</v>
      </c>
      <c r="CP22" s="547" t="s">
        <v>345</v>
      </c>
      <c r="CQ22" s="546">
        <v>28150000</v>
      </c>
      <c r="CR22" s="546">
        <v>14460999</v>
      </c>
      <c r="CS22" s="546">
        <v>14460999</v>
      </c>
      <c r="CT22" s="546">
        <v>13689001</v>
      </c>
      <c r="CU22" s="546">
        <f t="shared" si="2"/>
        <v>28150</v>
      </c>
      <c r="CV22" s="546">
        <f t="shared" si="3"/>
        <v>14460.999</v>
      </c>
      <c r="CW22" s="546">
        <f t="shared" si="4"/>
        <v>14460.999</v>
      </c>
      <c r="CX22" s="546">
        <f t="shared" si="5"/>
        <v>13689.001</v>
      </c>
      <c r="CZ22" s="547" t="s">
        <v>346</v>
      </c>
      <c r="DA22" s="546">
        <v>8084800</v>
      </c>
      <c r="DB22" s="546">
        <f t="shared" si="40"/>
        <v>8084.8</v>
      </c>
      <c r="DE22" s="544" t="s">
        <v>345</v>
      </c>
      <c r="DF22" s="545">
        <v>28150000</v>
      </c>
      <c r="DG22" s="545">
        <v>14454234</v>
      </c>
      <c r="DH22" s="545">
        <v>14454234</v>
      </c>
      <c r="DI22" s="545">
        <v>13695766</v>
      </c>
      <c r="DJ22" s="546">
        <f t="shared" si="41"/>
        <v>28150</v>
      </c>
      <c r="DK22" s="546">
        <f t="shared" si="42"/>
        <v>14454.234</v>
      </c>
      <c r="DL22" s="546">
        <f t="shared" si="43"/>
        <v>14454.234</v>
      </c>
      <c r="DM22" s="546">
        <f t="shared" si="44"/>
        <v>13695.766</v>
      </c>
      <c r="DP22" s="544" t="s">
        <v>346</v>
      </c>
      <c r="DQ22" s="545">
        <v>7827847</v>
      </c>
      <c r="DR22" s="546">
        <f t="shared" si="45"/>
        <v>7827.8469999999998</v>
      </c>
      <c r="DT22" s="544" t="s">
        <v>345</v>
      </c>
      <c r="DU22" s="545">
        <v>28150000</v>
      </c>
      <c r="DV22" s="545">
        <v>20413248</v>
      </c>
      <c r="DW22" s="545">
        <v>20413248</v>
      </c>
      <c r="DX22" s="545">
        <v>7736752</v>
      </c>
      <c r="DY22" s="546">
        <f t="shared" si="46"/>
        <v>28150</v>
      </c>
      <c r="DZ22" s="546">
        <f t="shared" si="47"/>
        <v>20413.248</v>
      </c>
      <c r="EA22" s="546">
        <f t="shared" si="48"/>
        <v>20413.248</v>
      </c>
      <c r="EB22" s="546">
        <f t="shared" si="49"/>
        <v>7736.7520000000004</v>
      </c>
      <c r="EE22" s="547" t="s">
        <v>350</v>
      </c>
      <c r="EF22" s="546">
        <v>1166134736</v>
      </c>
      <c r="EG22" s="548">
        <f t="shared" si="50"/>
        <v>1166134.736</v>
      </c>
      <c r="EI22" s="547" t="s">
        <v>531</v>
      </c>
      <c r="EJ22" s="546">
        <v>30600000</v>
      </c>
      <c r="EK22" s="546">
        <v>23190869</v>
      </c>
      <c r="EL22" s="546">
        <v>23190869</v>
      </c>
      <c r="EM22" s="548">
        <f t="shared" si="51"/>
        <v>30600</v>
      </c>
      <c r="EN22" s="548">
        <f t="shared" si="52"/>
        <v>23190.868999999999</v>
      </c>
      <c r="EO22" s="548">
        <f t="shared" si="53"/>
        <v>23190.868999999999</v>
      </c>
      <c r="ER22" s="544" t="s">
        <v>351</v>
      </c>
      <c r="ES22" s="545">
        <v>1090253099</v>
      </c>
      <c r="ET22" s="546">
        <f t="shared" si="54"/>
        <v>1090253.0989999999</v>
      </c>
      <c r="EW22" s="544" t="s">
        <v>531</v>
      </c>
      <c r="EX22" s="545">
        <v>0</v>
      </c>
      <c r="EY22" s="545">
        <v>30600000</v>
      </c>
      <c r="EZ22" s="545">
        <v>23190869</v>
      </c>
      <c r="FA22" s="545">
        <v>23190869</v>
      </c>
      <c r="FB22" s="545">
        <v>7409131</v>
      </c>
      <c r="FC22" s="546">
        <f t="shared" si="55"/>
        <v>0</v>
      </c>
      <c r="FD22" s="546">
        <f t="shared" si="56"/>
        <v>30600</v>
      </c>
      <c r="FE22" s="546">
        <f t="shared" si="57"/>
        <v>23190.868999999999</v>
      </c>
      <c r="FF22" s="546">
        <f t="shared" si="58"/>
        <v>23190.868999999999</v>
      </c>
      <c r="FG22" s="546">
        <f t="shared" si="59"/>
        <v>7409.1310000000003</v>
      </c>
      <c r="FJ22" s="547" t="s">
        <v>346</v>
      </c>
      <c r="FK22" s="546">
        <v>7684307</v>
      </c>
      <c r="FL22" s="548">
        <f t="shared" si="60"/>
        <v>7684.3069999999998</v>
      </c>
      <c r="FN22" s="549" t="s">
        <v>345</v>
      </c>
      <c r="FO22" s="550">
        <v>26431852</v>
      </c>
      <c r="FP22" s="550">
        <v>26430314</v>
      </c>
      <c r="FQ22" s="550">
        <v>26430314</v>
      </c>
      <c r="FR22" s="550">
        <f t="shared" si="61"/>
        <v>26431.851999999999</v>
      </c>
      <c r="FS22" s="550">
        <f t="shared" si="62"/>
        <v>26430.313999999998</v>
      </c>
      <c r="FT22" s="550">
        <f t="shared" si="63"/>
        <v>26430.313999999998</v>
      </c>
    </row>
    <row r="23" spans="1:176" ht="15" customHeight="1" x14ac:dyDescent="0.25">
      <c r="A23" s="890" t="s">
        <v>889</v>
      </c>
      <c r="B23" s="544" t="s">
        <v>346</v>
      </c>
      <c r="C23" s="545">
        <v>0</v>
      </c>
      <c r="D23" s="545">
        <v>208653500</v>
      </c>
      <c r="E23" s="545">
        <v>9687875</v>
      </c>
      <c r="F23" s="545">
        <v>198965625</v>
      </c>
      <c r="G23" s="545">
        <v>9687875</v>
      </c>
      <c r="H23" s="546">
        <f t="shared" si="10"/>
        <v>217416.94700000001</v>
      </c>
      <c r="I23" s="546">
        <f t="shared" si="11"/>
        <v>10094.76575</v>
      </c>
      <c r="J23" s="546">
        <f t="shared" si="12"/>
        <v>207322.18124999999</v>
      </c>
      <c r="K23" s="546">
        <f t="shared" si="13"/>
        <v>10094.76575</v>
      </c>
      <c r="O23" s="544" t="s">
        <v>352</v>
      </c>
      <c r="P23" s="545">
        <v>253519784</v>
      </c>
      <c r="Q23" s="546">
        <f t="shared" si="14"/>
        <v>264167.61492800002</v>
      </c>
      <c r="S23" s="544" t="s">
        <v>346</v>
      </c>
      <c r="T23" s="545">
        <v>211153500</v>
      </c>
      <c r="U23" s="545">
        <v>17857752</v>
      </c>
      <c r="V23" s="545">
        <v>17857752</v>
      </c>
      <c r="W23" s="545">
        <v>193295748</v>
      </c>
      <c r="X23" s="546">
        <f t="shared" si="15"/>
        <v>220021.94700000001</v>
      </c>
      <c r="Y23" s="546">
        <f t="shared" si="16"/>
        <v>18607.777583999999</v>
      </c>
      <c r="Z23" s="546">
        <f t="shared" si="17"/>
        <v>18607.777583999999</v>
      </c>
      <c r="AA23" s="546">
        <f t="shared" si="18"/>
        <v>201414.16941599999</v>
      </c>
      <c r="AC23" s="544" t="s">
        <v>584</v>
      </c>
      <c r="AD23" s="545">
        <v>98403</v>
      </c>
      <c r="AE23" s="546">
        <f t="shared" si="19"/>
        <v>98.403000000000006</v>
      </c>
      <c r="AG23" s="544" t="s">
        <v>346</v>
      </c>
      <c r="AH23" s="545">
        <v>211153500</v>
      </c>
      <c r="AI23" s="545">
        <v>25306010</v>
      </c>
      <c r="AJ23" s="545">
        <v>25306010</v>
      </c>
      <c r="AK23" s="545">
        <v>185847490</v>
      </c>
      <c r="AL23" s="545">
        <f t="shared" si="20"/>
        <v>211153.5</v>
      </c>
      <c r="AM23" s="545">
        <f t="shared" si="21"/>
        <v>25306.01</v>
      </c>
      <c r="AN23" s="545">
        <f t="shared" si="22"/>
        <v>25306.01</v>
      </c>
      <c r="AO23" s="545">
        <f t="shared" si="23"/>
        <v>185847.49</v>
      </c>
      <c r="AR23" s="544" t="s">
        <v>352</v>
      </c>
      <c r="AS23" s="545">
        <v>258085286</v>
      </c>
      <c r="AT23" s="545">
        <f t="shared" si="24"/>
        <v>258085.28599999999</v>
      </c>
      <c r="AV23" s="544" t="s">
        <v>346</v>
      </c>
      <c r="AW23" s="545">
        <v>211353500</v>
      </c>
      <c r="AX23" s="545">
        <v>33393885</v>
      </c>
      <c r="AY23" s="545">
        <v>33393885</v>
      </c>
      <c r="AZ23" s="545">
        <v>177959615</v>
      </c>
      <c r="BA23" s="546">
        <f t="shared" si="25"/>
        <v>211353.5</v>
      </c>
      <c r="BB23" s="546">
        <f t="shared" si="26"/>
        <v>33393.885000000002</v>
      </c>
      <c r="BC23" s="546">
        <f t="shared" si="27"/>
        <v>33393.885000000002</v>
      </c>
      <c r="BD23" s="546">
        <f t="shared" si="28"/>
        <v>177959.61499999999</v>
      </c>
      <c r="BG23" s="544" t="s">
        <v>352</v>
      </c>
      <c r="BH23" s="545">
        <v>258233330</v>
      </c>
      <c r="BI23" s="545">
        <f t="shared" si="29"/>
        <v>258233.33</v>
      </c>
      <c r="BK23" s="544" t="s">
        <v>346</v>
      </c>
      <c r="BL23" s="545">
        <v>210653500</v>
      </c>
      <c r="BM23" s="545">
        <v>41399758</v>
      </c>
      <c r="BN23" s="545">
        <v>41399758</v>
      </c>
      <c r="BO23" s="545">
        <v>169253742</v>
      </c>
      <c r="BP23" s="545">
        <f t="shared" si="30"/>
        <v>210653.5</v>
      </c>
      <c r="BQ23" s="545">
        <f t="shared" si="31"/>
        <v>41399.758000000002</v>
      </c>
      <c r="BR23" s="545">
        <f t="shared" si="32"/>
        <v>41399.758000000002</v>
      </c>
      <c r="BS23" s="545">
        <f t="shared" si="33"/>
        <v>169253.742</v>
      </c>
      <c r="BV23" s="544" t="s">
        <v>532</v>
      </c>
      <c r="BW23" s="545">
        <v>7349855</v>
      </c>
      <c r="BX23" s="546">
        <f t="shared" si="34"/>
        <v>7349.8549999999996</v>
      </c>
      <c r="BZ23" s="544" t="s">
        <v>346</v>
      </c>
      <c r="CA23" s="545">
        <v>210371766</v>
      </c>
      <c r="CB23" s="545">
        <v>49504033</v>
      </c>
      <c r="CC23" s="545">
        <v>49504033</v>
      </c>
      <c r="CD23" s="545">
        <v>160867733</v>
      </c>
      <c r="CE23" s="545">
        <f t="shared" si="35"/>
        <v>210371.766</v>
      </c>
      <c r="CF23" s="545">
        <f t="shared" si="36"/>
        <v>49504.033000000003</v>
      </c>
      <c r="CG23" s="545">
        <f t="shared" si="37"/>
        <v>49504.033000000003</v>
      </c>
      <c r="CH23" s="545">
        <f t="shared" si="38"/>
        <v>160867.73300000001</v>
      </c>
      <c r="CK23" s="547" t="s">
        <v>532</v>
      </c>
      <c r="CL23" s="546">
        <v>7347921</v>
      </c>
      <c r="CM23" s="546">
        <f t="shared" si="39"/>
        <v>7347.9210000000003</v>
      </c>
      <c r="CP23" s="547" t="s">
        <v>346</v>
      </c>
      <c r="CQ23" s="546">
        <v>210802500</v>
      </c>
      <c r="CR23" s="546">
        <v>57263441</v>
      </c>
      <c r="CS23" s="546">
        <v>57263441</v>
      </c>
      <c r="CT23" s="546">
        <v>153539059</v>
      </c>
      <c r="CU23" s="546">
        <f t="shared" si="2"/>
        <v>210802.5</v>
      </c>
      <c r="CV23" s="546">
        <f t="shared" si="3"/>
        <v>57263.440999999999</v>
      </c>
      <c r="CW23" s="546">
        <f t="shared" si="4"/>
        <v>57263.440999999999</v>
      </c>
      <c r="CX23" s="546">
        <f t="shared" si="5"/>
        <v>153539.05900000001</v>
      </c>
      <c r="CZ23" s="547" t="s">
        <v>532</v>
      </c>
      <c r="DA23" s="546">
        <v>7343090</v>
      </c>
      <c r="DB23" s="546">
        <f t="shared" si="40"/>
        <v>7343.09</v>
      </c>
      <c r="DE23" s="544" t="s">
        <v>346</v>
      </c>
      <c r="DF23" s="545">
        <v>211918500</v>
      </c>
      <c r="DG23" s="545">
        <v>65348241</v>
      </c>
      <c r="DH23" s="545">
        <v>65348241</v>
      </c>
      <c r="DI23" s="545">
        <v>146570259</v>
      </c>
      <c r="DJ23" s="546">
        <f t="shared" si="41"/>
        <v>211918.5</v>
      </c>
      <c r="DK23" s="546">
        <f t="shared" si="42"/>
        <v>65348.241000000002</v>
      </c>
      <c r="DL23" s="546">
        <f t="shared" si="43"/>
        <v>65348.241000000002</v>
      </c>
      <c r="DM23" s="546">
        <f t="shared" si="44"/>
        <v>146570.25899999999</v>
      </c>
      <c r="DP23" s="544" t="s">
        <v>532</v>
      </c>
      <c r="DQ23" s="545">
        <v>7349855</v>
      </c>
      <c r="DR23" s="546">
        <f t="shared" si="45"/>
        <v>7349.8549999999996</v>
      </c>
      <c r="DT23" s="544" t="s">
        <v>346</v>
      </c>
      <c r="DU23" s="545">
        <v>212237500</v>
      </c>
      <c r="DV23" s="545">
        <v>73176088</v>
      </c>
      <c r="DW23" s="545">
        <v>73176088</v>
      </c>
      <c r="DX23" s="545">
        <v>139061412</v>
      </c>
      <c r="DY23" s="546">
        <f t="shared" si="46"/>
        <v>212237.5</v>
      </c>
      <c r="DZ23" s="546">
        <f t="shared" si="47"/>
        <v>73176.088000000003</v>
      </c>
      <c r="EA23" s="546">
        <f t="shared" si="48"/>
        <v>73176.088000000003</v>
      </c>
      <c r="EB23" s="546">
        <f t="shared" si="49"/>
        <v>139061.41200000001</v>
      </c>
      <c r="EE23" s="547" t="s">
        <v>351</v>
      </c>
      <c r="EF23" s="546">
        <v>1089682361</v>
      </c>
      <c r="EG23" s="548">
        <f t="shared" si="50"/>
        <v>1089682.361</v>
      </c>
      <c r="EI23" s="547" t="s">
        <v>345</v>
      </c>
      <c r="EJ23" s="546">
        <v>28150000</v>
      </c>
      <c r="EK23" s="546">
        <v>20413248</v>
      </c>
      <c r="EL23" s="546">
        <v>20413248</v>
      </c>
      <c r="EM23" s="548">
        <f t="shared" si="51"/>
        <v>28150</v>
      </c>
      <c r="EN23" s="548">
        <f t="shared" si="52"/>
        <v>20413.248</v>
      </c>
      <c r="EO23" s="548">
        <f t="shared" si="53"/>
        <v>20413.248</v>
      </c>
      <c r="ER23" s="544" t="s">
        <v>352</v>
      </c>
      <c r="ES23" s="545">
        <v>261171514</v>
      </c>
      <c r="ET23" s="546">
        <f t="shared" si="54"/>
        <v>261171.514</v>
      </c>
      <c r="EW23" s="544" t="s">
        <v>345</v>
      </c>
      <c r="EX23" s="545">
        <v>0</v>
      </c>
      <c r="EY23" s="545">
        <v>28150000</v>
      </c>
      <c r="EZ23" s="545">
        <v>20413248</v>
      </c>
      <c r="FA23" s="545">
        <v>20413248</v>
      </c>
      <c r="FB23" s="545">
        <v>7736752</v>
      </c>
      <c r="FC23" s="546">
        <f t="shared" si="55"/>
        <v>0</v>
      </c>
      <c r="FD23" s="546">
        <f t="shared" si="56"/>
        <v>28150</v>
      </c>
      <c r="FE23" s="546">
        <f t="shared" si="57"/>
        <v>20413.248</v>
      </c>
      <c r="FF23" s="546">
        <f t="shared" si="58"/>
        <v>20413.248</v>
      </c>
      <c r="FG23" s="546">
        <f t="shared" si="59"/>
        <v>7736.7520000000004</v>
      </c>
      <c r="FJ23" s="547" t="s">
        <v>532</v>
      </c>
      <c r="FK23" s="546">
        <v>7348317</v>
      </c>
      <c r="FL23" s="548">
        <f t="shared" si="60"/>
        <v>7348.317</v>
      </c>
      <c r="FN23" s="549" t="s">
        <v>346</v>
      </c>
      <c r="FO23" s="550">
        <v>180085484</v>
      </c>
      <c r="FP23" s="550">
        <v>97014890</v>
      </c>
      <c r="FQ23" s="550">
        <v>97014890</v>
      </c>
      <c r="FR23" s="550">
        <f t="shared" si="61"/>
        <v>180085.484</v>
      </c>
      <c r="FS23" s="550">
        <f t="shared" si="62"/>
        <v>97014.89</v>
      </c>
      <c r="FT23" s="550">
        <f t="shared" si="63"/>
        <v>97014.89</v>
      </c>
    </row>
    <row r="24" spans="1:176" ht="15" customHeight="1" x14ac:dyDescent="0.25">
      <c r="A24" s="890" t="s">
        <v>890</v>
      </c>
      <c r="B24" s="544" t="s">
        <v>532</v>
      </c>
      <c r="C24" s="545">
        <v>0</v>
      </c>
      <c r="D24" s="545">
        <v>203143500</v>
      </c>
      <c r="E24" s="545">
        <v>8949855</v>
      </c>
      <c r="F24" s="545">
        <v>194193645</v>
      </c>
      <c r="G24" s="545">
        <v>8949855</v>
      </c>
      <c r="H24" s="546">
        <f t="shared" si="10"/>
        <v>211675.527</v>
      </c>
      <c r="I24" s="546">
        <f t="shared" si="11"/>
        <v>9325.7489100000003</v>
      </c>
      <c r="J24" s="546">
        <f t="shared" si="12"/>
        <v>202349.77809000001</v>
      </c>
      <c r="K24" s="546">
        <f t="shared" si="13"/>
        <v>9325.7489100000003</v>
      </c>
      <c r="O24" s="544" t="s">
        <v>535</v>
      </c>
      <c r="P24" s="545">
        <v>12204662</v>
      </c>
      <c r="Q24" s="546">
        <f t="shared" si="14"/>
        <v>12717.257804000001</v>
      </c>
      <c r="S24" s="544" t="s">
        <v>532</v>
      </c>
      <c r="T24" s="545">
        <v>203143500</v>
      </c>
      <c r="U24" s="545">
        <v>16299710</v>
      </c>
      <c r="V24" s="545">
        <v>16299710</v>
      </c>
      <c r="W24" s="545">
        <v>186843790</v>
      </c>
      <c r="X24" s="546">
        <f t="shared" si="15"/>
        <v>211675.527</v>
      </c>
      <c r="Y24" s="546">
        <f t="shared" si="16"/>
        <v>16984.29782</v>
      </c>
      <c r="Z24" s="546">
        <f t="shared" si="17"/>
        <v>16984.29782</v>
      </c>
      <c r="AA24" s="546">
        <f t="shared" si="18"/>
        <v>194691.22918000002</v>
      </c>
      <c r="AC24" s="544" t="s">
        <v>347</v>
      </c>
      <c r="AD24" s="545">
        <v>165512</v>
      </c>
      <c r="AE24" s="546">
        <f t="shared" si="19"/>
        <v>165.512</v>
      </c>
      <c r="AG24" s="544" t="s">
        <v>532</v>
      </c>
      <c r="AH24" s="545">
        <v>203143500</v>
      </c>
      <c r="AI24" s="545">
        <v>23649565</v>
      </c>
      <c r="AJ24" s="545">
        <v>23649565</v>
      </c>
      <c r="AK24" s="545">
        <v>179493935</v>
      </c>
      <c r="AL24" s="545">
        <f t="shared" si="20"/>
        <v>203143.5</v>
      </c>
      <c r="AM24" s="545">
        <f t="shared" si="21"/>
        <v>23649.564999999999</v>
      </c>
      <c r="AN24" s="545">
        <f t="shared" si="22"/>
        <v>23649.564999999999</v>
      </c>
      <c r="AO24" s="545">
        <f t="shared" si="23"/>
        <v>179493.935</v>
      </c>
      <c r="AR24" s="544" t="s">
        <v>535</v>
      </c>
      <c r="AS24" s="545">
        <v>11949147</v>
      </c>
      <c r="AT24" s="545">
        <f t="shared" si="24"/>
        <v>11949.147000000001</v>
      </c>
      <c r="AV24" s="544" t="s">
        <v>532</v>
      </c>
      <c r="AW24" s="545">
        <v>203143500</v>
      </c>
      <c r="AX24" s="545">
        <v>30999420</v>
      </c>
      <c r="AY24" s="545">
        <v>30999420</v>
      </c>
      <c r="AZ24" s="545">
        <v>172144080</v>
      </c>
      <c r="BA24" s="546">
        <f t="shared" si="25"/>
        <v>203143.5</v>
      </c>
      <c r="BB24" s="546">
        <f t="shared" si="26"/>
        <v>30999.42</v>
      </c>
      <c r="BC24" s="546">
        <f t="shared" si="27"/>
        <v>30999.42</v>
      </c>
      <c r="BD24" s="546">
        <f t="shared" si="28"/>
        <v>172144.08</v>
      </c>
      <c r="BG24" s="544" t="s">
        <v>535</v>
      </c>
      <c r="BH24" s="545">
        <v>11728101</v>
      </c>
      <c r="BI24" s="545">
        <f t="shared" si="29"/>
        <v>11728.101000000001</v>
      </c>
      <c r="BK24" s="544" t="s">
        <v>532</v>
      </c>
      <c r="BL24" s="545">
        <v>203143500</v>
      </c>
      <c r="BM24" s="545">
        <v>38349275</v>
      </c>
      <c r="BN24" s="545">
        <v>38349275</v>
      </c>
      <c r="BO24" s="545">
        <v>164794225</v>
      </c>
      <c r="BP24" s="545">
        <f t="shared" si="30"/>
        <v>203143.5</v>
      </c>
      <c r="BQ24" s="545">
        <f t="shared" si="31"/>
        <v>38349.275000000001</v>
      </c>
      <c r="BR24" s="545">
        <f t="shared" si="32"/>
        <v>38349.275000000001</v>
      </c>
      <c r="BS24" s="545">
        <f t="shared" si="33"/>
        <v>164794.22500000001</v>
      </c>
      <c r="BV24" s="544" t="s">
        <v>584</v>
      </c>
      <c r="BW24" s="545">
        <v>754420</v>
      </c>
      <c r="BX24" s="546">
        <f t="shared" si="34"/>
        <v>754.42</v>
      </c>
      <c r="BZ24" s="544" t="s">
        <v>532</v>
      </c>
      <c r="CA24" s="545">
        <v>203143500</v>
      </c>
      <c r="CB24" s="545">
        <v>45699130</v>
      </c>
      <c r="CC24" s="545">
        <v>45699130</v>
      </c>
      <c r="CD24" s="545">
        <v>157444370</v>
      </c>
      <c r="CE24" s="545">
        <f t="shared" si="35"/>
        <v>203143.5</v>
      </c>
      <c r="CF24" s="545">
        <f t="shared" si="36"/>
        <v>45699.13</v>
      </c>
      <c r="CG24" s="545">
        <f t="shared" si="37"/>
        <v>45699.13</v>
      </c>
      <c r="CH24" s="545">
        <f t="shared" si="38"/>
        <v>157444.37</v>
      </c>
      <c r="CK24" s="547" t="s">
        <v>584</v>
      </c>
      <c r="CL24" s="546">
        <v>411487</v>
      </c>
      <c r="CM24" s="546">
        <f t="shared" si="39"/>
        <v>411.48700000000002</v>
      </c>
      <c r="CP24" s="547" t="s">
        <v>532</v>
      </c>
      <c r="CQ24" s="546">
        <v>203143500</v>
      </c>
      <c r="CR24" s="546">
        <v>53047051</v>
      </c>
      <c r="CS24" s="546">
        <v>53047051</v>
      </c>
      <c r="CT24" s="546">
        <v>150096449</v>
      </c>
      <c r="CU24" s="546">
        <f t="shared" si="2"/>
        <v>203143.5</v>
      </c>
      <c r="CV24" s="546">
        <f t="shared" si="3"/>
        <v>53047.050999999999</v>
      </c>
      <c r="CW24" s="546">
        <f t="shared" si="4"/>
        <v>53047.050999999999</v>
      </c>
      <c r="CX24" s="546">
        <f t="shared" si="5"/>
        <v>150096.44899999999</v>
      </c>
      <c r="CZ24" s="547" t="s">
        <v>584</v>
      </c>
      <c r="DA24" s="546">
        <v>741710</v>
      </c>
      <c r="DB24" s="546">
        <f t="shared" si="40"/>
        <v>741.71</v>
      </c>
      <c r="DE24" s="544" t="s">
        <v>532</v>
      </c>
      <c r="DF24" s="545">
        <v>203143500</v>
      </c>
      <c r="DG24" s="545">
        <v>60390141</v>
      </c>
      <c r="DH24" s="545">
        <v>60390141</v>
      </c>
      <c r="DI24" s="545">
        <v>142753359</v>
      </c>
      <c r="DJ24" s="546">
        <f t="shared" si="41"/>
        <v>203143.5</v>
      </c>
      <c r="DK24" s="546">
        <f t="shared" si="42"/>
        <v>60390.141000000003</v>
      </c>
      <c r="DL24" s="546">
        <f t="shared" si="43"/>
        <v>60390.141000000003</v>
      </c>
      <c r="DM24" s="546">
        <f t="shared" si="44"/>
        <v>142753.359</v>
      </c>
      <c r="DP24" s="544" t="s">
        <v>584</v>
      </c>
      <c r="DQ24" s="545">
        <v>477992</v>
      </c>
      <c r="DR24" s="546">
        <f t="shared" si="45"/>
        <v>477.99200000000002</v>
      </c>
      <c r="DT24" s="544" t="s">
        <v>532</v>
      </c>
      <c r="DU24" s="545">
        <v>203143500</v>
      </c>
      <c r="DV24" s="545">
        <v>67739996</v>
      </c>
      <c r="DW24" s="545">
        <v>67739996</v>
      </c>
      <c r="DX24" s="545">
        <v>135403504</v>
      </c>
      <c r="DY24" s="546">
        <f t="shared" si="46"/>
        <v>203143.5</v>
      </c>
      <c r="DZ24" s="546">
        <f t="shared" si="47"/>
        <v>67739.995999999999</v>
      </c>
      <c r="EA24" s="546">
        <f t="shared" si="48"/>
        <v>67739.995999999999</v>
      </c>
      <c r="EB24" s="546">
        <f t="shared" si="49"/>
        <v>135403.50399999999</v>
      </c>
      <c r="EE24" s="547" t="s">
        <v>352</v>
      </c>
      <c r="EF24" s="546">
        <v>261037186</v>
      </c>
      <c r="EG24" s="548">
        <f t="shared" si="50"/>
        <v>261037.18599999999</v>
      </c>
      <c r="EI24" s="547" t="s">
        <v>346</v>
      </c>
      <c r="EJ24" s="546">
        <v>213131500</v>
      </c>
      <c r="EK24" s="546">
        <v>81448615</v>
      </c>
      <c r="EL24" s="546">
        <v>81448615</v>
      </c>
      <c r="EM24" s="548">
        <f t="shared" si="51"/>
        <v>213131.5</v>
      </c>
      <c r="EN24" s="548">
        <f t="shared" si="52"/>
        <v>81448.615000000005</v>
      </c>
      <c r="EO24" s="548">
        <f t="shared" si="53"/>
        <v>81448.615000000005</v>
      </c>
      <c r="ER24" s="544" t="s">
        <v>535</v>
      </c>
      <c r="ES24" s="545">
        <v>12244607</v>
      </c>
      <c r="ET24" s="546">
        <f t="shared" si="54"/>
        <v>12244.607</v>
      </c>
      <c r="EW24" s="544" t="s">
        <v>346</v>
      </c>
      <c r="EX24" s="545">
        <v>0</v>
      </c>
      <c r="EY24" s="545">
        <v>213131500</v>
      </c>
      <c r="EZ24" s="545">
        <v>89330583</v>
      </c>
      <c r="FA24" s="545">
        <v>89330583</v>
      </c>
      <c r="FB24" s="545">
        <v>123800917</v>
      </c>
      <c r="FC24" s="546">
        <f t="shared" si="55"/>
        <v>0</v>
      </c>
      <c r="FD24" s="546">
        <f t="shared" si="56"/>
        <v>213131.5</v>
      </c>
      <c r="FE24" s="546">
        <f t="shared" si="57"/>
        <v>89330.582999999999</v>
      </c>
      <c r="FF24" s="546">
        <f t="shared" si="58"/>
        <v>89330.582999999999</v>
      </c>
      <c r="FG24" s="546">
        <f t="shared" si="59"/>
        <v>123800.917</v>
      </c>
      <c r="FJ24" s="547" t="s">
        <v>533</v>
      </c>
      <c r="FK24" s="546">
        <v>138200</v>
      </c>
      <c r="FL24" s="548">
        <f t="shared" si="60"/>
        <v>138.19999999999999</v>
      </c>
      <c r="FN24" s="549" t="s">
        <v>532</v>
      </c>
      <c r="FO24" s="550">
        <v>169031554</v>
      </c>
      <c r="FP24" s="550">
        <v>89787678</v>
      </c>
      <c r="FQ24" s="550">
        <v>89787678</v>
      </c>
      <c r="FR24" s="550">
        <f t="shared" si="61"/>
        <v>169031.554</v>
      </c>
      <c r="FS24" s="550">
        <f t="shared" si="62"/>
        <v>89787.678</v>
      </c>
      <c r="FT24" s="550">
        <f t="shared" si="63"/>
        <v>89787.678</v>
      </c>
    </row>
    <row r="25" spans="1:176" ht="15" customHeight="1" x14ac:dyDescent="0.25">
      <c r="A25" s="890" t="s">
        <v>890</v>
      </c>
      <c r="B25" s="544" t="s">
        <v>533</v>
      </c>
      <c r="C25" s="545">
        <v>0</v>
      </c>
      <c r="D25" s="545">
        <v>600000</v>
      </c>
      <c r="E25" s="545">
        <v>0</v>
      </c>
      <c r="F25" s="545">
        <v>600000</v>
      </c>
      <c r="G25" s="545">
        <v>0</v>
      </c>
      <c r="H25" s="546">
        <f t="shared" si="10"/>
        <v>625.20000000000005</v>
      </c>
      <c r="I25" s="546">
        <f t="shared" si="11"/>
        <v>0</v>
      </c>
      <c r="J25" s="546">
        <f t="shared" si="12"/>
        <v>625.20000000000005</v>
      </c>
      <c r="K25" s="546">
        <f t="shared" si="13"/>
        <v>0</v>
      </c>
      <c r="O25" s="544" t="s">
        <v>353</v>
      </c>
      <c r="P25" s="545">
        <v>179838810</v>
      </c>
      <c r="Q25" s="546">
        <f t="shared" si="14"/>
        <v>187392.04002000001</v>
      </c>
      <c r="S25" s="544" t="s">
        <v>533</v>
      </c>
      <c r="T25" s="545">
        <v>600000</v>
      </c>
      <c r="U25" s="545">
        <v>0</v>
      </c>
      <c r="V25" s="545">
        <v>0</v>
      </c>
      <c r="W25" s="545">
        <v>600000</v>
      </c>
      <c r="X25" s="546">
        <f t="shared" si="15"/>
        <v>625.20000000000005</v>
      </c>
      <c r="Y25" s="546">
        <f t="shared" si="16"/>
        <v>0</v>
      </c>
      <c r="Z25" s="546">
        <f t="shared" si="17"/>
        <v>0</v>
      </c>
      <c r="AA25" s="546">
        <f t="shared" si="18"/>
        <v>625.20000000000005</v>
      </c>
      <c r="AC25" s="544" t="s">
        <v>460</v>
      </c>
      <c r="AD25" s="545">
        <v>165512</v>
      </c>
      <c r="AE25" s="546">
        <f t="shared" si="19"/>
        <v>165.512</v>
      </c>
      <c r="AG25" s="544" t="s">
        <v>533</v>
      </c>
      <c r="AH25" s="545">
        <v>600000</v>
      </c>
      <c r="AI25" s="545">
        <v>0</v>
      </c>
      <c r="AJ25" s="545">
        <v>0</v>
      </c>
      <c r="AK25" s="545">
        <v>600000</v>
      </c>
      <c r="AL25" s="545">
        <f t="shared" si="20"/>
        <v>600</v>
      </c>
      <c r="AM25" s="545">
        <f t="shared" si="21"/>
        <v>0</v>
      </c>
      <c r="AN25" s="545">
        <f t="shared" si="22"/>
        <v>0</v>
      </c>
      <c r="AO25" s="545">
        <f t="shared" si="23"/>
        <v>600</v>
      </c>
      <c r="AR25" s="544" t="s">
        <v>353</v>
      </c>
      <c r="AS25" s="545">
        <v>184523508</v>
      </c>
      <c r="AT25" s="545">
        <f t="shared" si="24"/>
        <v>184523.508</v>
      </c>
      <c r="AV25" s="544" t="s">
        <v>533</v>
      </c>
      <c r="AW25" s="545">
        <v>600000</v>
      </c>
      <c r="AX25" s="545">
        <v>0</v>
      </c>
      <c r="AY25" s="545">
        <v>0</v>
      </c>
      <c r="AZ25" s="545">
        <v>600000</v>
      </c>
      <c r="BA25" s="546">
        <f t="shared" si="25"/>
        <v>600</v>
      </c>
      <c r="BB25" s="546">
        <f t="shared" si="26"/>
        <v>0</v>
      </c>
      <c r="BC25" s="546">
        <f t="shared" si="27"/>
        <v>0</v>
      </c>
      <c r="BD25" s="546">
        <f t="shared" si="28"/>
        <v>600</v>
      </c>
      <c r="BG25" s="544" t="s">
        <v>353</v>
      </c>
      <c r="BH25" s="545">
        <v>184016938</v>
      </c>
      <c r="BI25" s="545">
        <f t="shared" si="29"/>
        <v>184016.93799999999</v>
      </c>
      <c r="BK25" s="544" t="s">
        <v>533</v>
      </c>
      <c r="BL25" s="545">
        <v>600000</v>
      </c>
      <c r="BM25" s="545">
        <v>0</v>
      </c>
      <c r="BN25" s="545">
        <v>0</v>
      </c>
      <c r="BO25" s="545">
        <v>600000</v>
      </c>
      <c r="BP25" s="545">
        <f t="shared" si="30"/>
        <v>600</v>
      </c>
      <c r="BQ25" s="545">
        <f t="shared" si="31"/>
        <v>0</v>
      </c>
      <c r="BR25" s="545">
        <f t="shared" si="32"/>
        <v>0</v>
      </c>
      <c r="BS25" s="545">
        <f t="shared" si="33"/>
        <v>600</v>
      </c>
      <c r="BV25" s="544" t="s">
        <v>347</v>
      </c>
      <c r="BW25" s="545">
        <v>165512</v>
      </c>
      <c r="BX25" s="546">
        <f t="shared" si="34"/>
        <v>165.512</v>
      </c>
      <c r="BZ25" s="544" t="s">
        <v>533</v>
      </c>
      <c r="CA25" s="545">
        <v>600000</v>
      </c>
      <c r="CB25" s="545">
        <v>0</v>
      </c>
      <c r="CC25" s="545">
        <v>0</v>
      </c>
      <c r="CD25" s="545">
        <v>600000</v>
      </c>
      <c r="CE25" s="545">
        <f t="shared" si="35"/>
        <v>600</v>
      </c>
      <c r="CF25" s="545">
        <f t="shared" si="36"/>
        <v>0</v>
      </c>
      <c r="CG25" s="545">
        <f t="shared" si="37"/>
        <v>0</v>
      </c>
      <c r="CH25" s="545">
        <f t="shared" si="38"/>
        <v>600</v>
      </c>
      <c r="CK25" s="547" t="s">
        <v>347</v>
      </c>
      <c r="CL25" s="546">
        <v>-1934</v>
      </c>
      <c r="CM25" s="546">
        <f t="shared" si="39"/>
        <v>-1.9339999999999999</v>
      </c>
      <c r="CP25" s="547" t="s">
        <v>533</v>
      </c>
      <c r="CQ25" s="546">
        <v>600000</v>
      </c>
      <c r="CR25" s="546">
        <v>0</v>
      </c>
      <c r="CS25" s="546">
        <v>0</v>
      </c>
      <c r="CT25" s="546">
        <v>600000</v>
      </c>
      <c r="CU25" s="546">
        <f t="shared" si="2"/>
        <v>600</v>
      </c>
      <c r="CV25" s="546">
        <f t="shared" si="3"/>
        <v>0</v>
      </c>
      <c r="CW25" s="546">
        <f t="shared" si="4"/>
        <v>0</v>
      </c>
      <c r="CX25" s="546">
        <f t="shared" si="5"/>
        <v>600</v>
      </c>
      <c r="CZ25" s="547" t="s">
        <v>347</v>
      </c>
      <c r="DA25" s="546">
        <v>-2561</v>
      </c>
      <c r="DB25" s="546">
        <f t="shared" si="40"/>
        <v>-2.5609999999999999</v>
      </c>
      <c r="DE25" s="544" t="s">
        <v>533</v>
      </c>
      <c r="DF25" s="545">
        <v>600000</v>
      </c>
      <c r="DG25" s="545">
        <v>0</v>
      </c>
      <c r="DH25" s="545">
        <v>0</v>
      </c>
      <c r="DI25" s="545">
        <v>600000</v>
      </c>
      <c r="DJ25" s="546">
        <f t="shared" si="41"/>
        <v>600</v>
      </c>
      <c r="DK25" s="546">
        <f t="shared" si="42"/>
        <v>0</v>
      </c>
      <c r="DL25" s="546">
        <f t="shared" si="43"/>
        <v>0</v>
      </c>
      <c r="DM25" s="546">
        <f t="shared" si="44"/>
        <v>600</v>
      </c>
      <c r="DP25" s="544" t="s">
        <v>347</v>
      </c>
      <c r="DQ25" s="545">
        <v>203235</v>
      </c>
      <c r="DR25" s="546">
        <f t="shared" si="45"/>
        <v>203.23500000000001</v>
      </c>
      <c r="DT25" s="544" t="s">
        <v>533</v>
      </c>
      <c r="DU25" s="545">
        <v>600000</v>
      </c>
      <c r="DV25" s="545">
        <v>0</v>
      </c>
      <c r="DW25" s="545">
        <v>0</v>
      </c>
      <c r="DX25" s="545">
        <v>600000</v>
      </c>
      <c r="DY25" s="546">
        <f t="shared" si="46"/>
        <v>600</v>
      </c>
      <c r="DZ25" s="546">
        <f t="shared" si="47"/>
        <v>0</v>
      </c>
      <c r="EA25" s="546">
        <f t="shared" si="48"/>
        <v>0</v>
      </c>
      <c r="EB25" s="546">
        <f t="shared" si="49"/>
        <v>600</v>
      </c>
      <c r="EE25" s="547" t="s">
        <v>535</v>
      </c>
      <c r="EF25" s="546">
        <v>12102164</v>
      </c>
      <c r="EG25" s="548">
        <f t="shared" si="50"/>
        <v>12102.164000000001</v>
      </c>
      <c r="EI25" s="547" t="s">
        <v>532</v>
      </c>
      <c r="EJ25" s="546">
        <v>203143500</v>
      </c>
      <c r="EK25" s="546">
        <v>75089506</v>
      </c>
      <c r="EL25" s="546">
        <v>75089506</v>
      </c>
      <c r="EM25" s="548">
        <f t="shared" si="51"/>
        <v>203143.5</v>
      </c>
      <c r="EN25" s="548">
        <f t="shared" si="52"/>
        <v>75089.505999999994</v>
      </c>
      <c r="EO25" s="548">
        <f t="shared" si="53"/>
        <v>75089.505999999994</v>
      </c>
      <c r="ER25" s="544" t="s">
        <v>353</v>
      </c>
      <c r="ES25" s="545">
        <v>185524480</v>
      </c>
      <c r="ET25" s="546">
        <f t="shared" si="54"/>
        <v>185524.48000000001</v>
      </c>
      <c r="EW25" s="544" t="s">
        <v>532</v>
      </c>
      <c r="EX25" s="545">
        <v>0</v>
      </c>
      <c r="EY25" s="545">
        <v>203143500</v>
      </c>
      <c r="EZ25" s="545">
        <v>82439361</v>
      </c>
      <c r="FA25" s="545">
        <v>82439361</v>
      </c>
      <c r="FB25" s="545">
        <v>120704139</v>
      </c>
      <c r="FC25" s="546">
        <f t="shared" si="55"/>
        <v>0</v>
      </c>
      <c r="FD25" s="546">
        <f t="shared" si="56"/>
        <v>203143.5</v>
      </c>
      <c r="FE25" s="546">
        <f t="shared" si="57"/>
        <v>82439.361000000004</v>
      </c>
      <c r="FF25" s="546">
        <f t="shared" si="58"/>
        <v>82439.361000000004</v>
      </c>
      <c r="FG25" s="546">
        <f t="shared" si="59"/>
        <v>120704.139</v>
      </c>
      <c r="FJ25" s="547" t="s">
        <v>584</v>
      </c>
      <c r="FK25" s="546">
        <v>197790</v>
      </c>
      <c r="FL25" s="548">
        <f t="shared" si="60"/>
        <v>197.79</v>
      </c>
      <c r="FN25" s="549" t="s">
        <v>533</v>
      </c>
      <c r="FO25" s="550">
        <v>600000</v>
      </c>
      <c r="FP25" s="550">
        <v>138200</v>
      </c>
      <c r="FQ25" s="550">
        <v>138200</v>
      </c>
      <c r="FR25" s="550">
        <f t="shared" si="61"/>
        <v>600</v>
      </c>
      <c r="FS25" s="550">
        <f t="shared" si="62"/>
        <v>138.19999999999999</v>
      </c>
      <c r="FT25" s="550">
        <f t="shared" si="63"/>
        <v>138.19999999999999</v>
      </c>
    </row>
    <row r="26" spans="1:176" ht="15" customHeight="1" x14ac:dyDescent="0.25">
      <c r="A26" s="890" t="s">
        <v>890</v>
      </c>
      <c r="B26" s="544" t="s">
        <v>584</v>
      </c>
      <c r="C26" s="545">
        <v>0</v>
      </c>
      <c r="D26" s="545">
        <v>2910000</v>
      </c>
      <c r="E26" s="545">
        <v>738020</v>
      </c>
      <c r="F26" s="545">
        <v>2171980</v>
      </c>
      <c r="G26" s="545">
        <v>738020</v>
      </c>
      <c r="H26" s="546">
        <f t="shared" si="10"/>
        <v>3032.2200000000003</v>
      </c>
      <c r="I26" s="546">
        <f t="shared" si="11"/>
        <v>769.01684</v>
      </c>
      <c r="J26" s="546">
        <f t="shared" si="12"/>
        <v>2263.20316</v>
      </c>
      <c r="K26" s="546">
        <f t="shared" si="13"/>
        <v>769.01684</v>
      </c>
      <c r="O26" s="544" t="s">
        <v>354</v>
      </c>
      <c r="P26" s="545">
        <v>23731030</v>
      </c>
      <c r="Q26" s="546">
        <f t="shared" si="14"/>
        <v>24727.733260000001</v>
      </c>
      <c r="S26" s="544" t="s">
        <v>584</v>
      </c>
      <c r="T26" s="545">
        <v>5410000</v>
      </c>
      <c r="U26" s="545">
        <v>1558042</v>
      </c>
      <c r="V26" s="545">
        <v>1558042</v>
      </c>
      <c r="W26" s="545">
        <v>3851958</v>
      </c>
      <c r="X26" s="546">
        <f t="shared" si="15"/>
        <v>5637.22</v>
      </c>
      <c r="Y26" s="546">
        <f t="shared" si="16"/>
        <v>1623.4797639999999</v>
      </c>
      <c r="Z26" s="546">
        <f t="shared" si="17"/>
        <v>1623.4797639999999</v>
      </c>
      <c r="AA26" s="546">
        <f t="shared" si="18"/>
        <v>4013.7402360000001</v>
      </c>
      <c r="AC26" s="544" t="s">
        <v>350</v>
      </c>
      <c r="AD26" s="545">
        <v>2030654465</v>
      </c>
      <c r="AE26" s="546">
        <f t="shared" si="19"/>
        <v>2030654.4650000001</v>
      </c>
      <c r="AG26" s="544" t="s">
        <v>584</v>
      </c>
      <c r="AH26" s="545">
        <v>5410000</v>
      </c>
      <c r="AI26" s="545">
        <v>1656445</v>
      </c>
      <c r="AJ26" s="545">
        <v>1656445</v>
      </c>
      <c r="AK26" s="545">
        <v>3753555</v>
      </c>
      <c r="AL26" s="545">
        <f t="shared" si="20"/>
        <v>5410</v>
      </c>
      <c r="AM26" s="545">
        <f t="shared" si="21"/>
        <v>1656.4449999999999</v>
      </c>
      <c r="AN26" s="545">
        <f t="shared" si="22"/>
        <v>1656.4449999999999</v>
      </c>
      <c r="AO26" s="545">
        <f t="shared" si="23"/>
        <v>3753.5549999999998</v>
      </c>
      <c r="AR26" s="544" t="s">
        <v>354</v>
      </c>
      <c r="AS26" s="545">
        <v>24479553</v>
      </c>
      <c r="AT26" s="545">
        <f t="shared" si="24"/>
        <v>24479.553</v>
      </c>
      <c r="AV26" s="544" t="s">
        <v>584</v>
      </c>
      <c r="AW26" s="545">
        <v>5610000</v>
      </c>
      <c r="AX26" s="545">
        <v>2394465</v>
      </c>
      <c r="AY26" s="545">
        <v>2394465</v>
      </c>
      <c r="AZ26" s="545">
        <v>3215535</v>
      </c>
      <c r="BA26" s="546">
        <f t="shared" si="25"/>
        <v>5610</v>
      </c>
      <c r="BB26" s="546">
        <f t="shared" si="26"/>
        <v>2394.4650000000001</v>
      </c>
      <c r="BC26" s="546">
        <f t="shared" si="27"/>
        <v>2394.4650000000001</v>
      </c>
      <c r="BD26" s="546">
        <f t="shared" si="28"/>
        <v>3215.5349999999999</v>
      </c>
      <c r="BG26" s="544" t="s">
        <v>354</v>
      </c>
      <c r="BH26" s="545">
        <v>24161957</v>
      </c>
      <c r="BI26" s="545">
        <f t="shared" si="29"/>
        <v>24161.956999999999</v>
      </c>
      <c r="BK26" s="544" t="s">
        <v>584</v>
      </c>
      <c r="BL26" s="545">
        <v>4910000</v>
      </c>
      <c r="BM26" s="545">
        <v>3050483</v>
      </c>
      <c r="BN26" s="545">
        <v>3050483</v>
      </c>
      <c r="BO26" s="545">
        <v>1859517</v>
      </c>
      <c r="BP26" s="545">
        <f t="shared" si="30"/>
        <v>4910</v>
      </c>
      <c r="BQ26" s="545">
        <f t="shared" si="31"/>
        <v>3050.4830000000002</v>
      </c>
      <c r="BR26" s="545">
        <f t="shared" si="32"/>
        <v>3050.4830000000002</v>
      </c>
      <c r="BS26" s="545">
        <f t="shared" si="33"/>
        <v>1859.5170000000001</v>
      </c>
      <c r="BV26" s="544" t="s">
        <v>460</v>
      </c>
      <c r="BW26" s="545">
        <v>165512</v>
      </c>
      <c r="BX26" s="546">
        <f t="shared" si="34"/>
        <v>165.512</v>
      </c>
      <c r="BZ26" s="544" t="s">
        <v>584</v>
      </c>
      <c r="CA26" s="545">
        <v>4628266</v>
      </c>
      <c r="CB26" s="545">
        <v>3804903</v>
      </c>
      <c r="CC26" s="545">
        <v>3804903</v>
      </c>
      <c r="CD26" s="545">
        <v>823363</v>
      </c>
      <c r="CE26" s="545">
        <f t="shared" si="35"/>
        <v>4628.2659999999996</v>
      </c>
      <c r="CF26" s="545">
        <f t="shared" si="36"/>
        <v>3804.9029999999998</v>
      </c>
      <c r="CG26" s="545">
        <f t="shared" si="37"/>
        <v>3804.9029999999998</v>
      </c>
      <c r="CH26" s="545">
        <f t="shared" si="38"/>
        <v>823.36300000000006</v>
      </c>
      <c r="CK26" s="547" t="s">
        <v>460</v>
      </c>
      <c r="CL26" s="546">
        <v>-1934</v>
      </c>
      <c r="CM26" s="546">
        <f t="shared" si="39"/>
        <v>-1.9339999999999999</v>
      </c>
      <c r="CP26" s="547" t="s">
        <v>584</v>
      </c>
      <c r="CQ26" s="546">
        <v>5059000</v>
      </c>
      <c r="CR26" s="546">
        <v>4216390</v>
      </c>
      <c r="CS26" s="546">
        <v>4216390</v>
      </c>
      <c r="CT26" s="546">
        <v>842610</v>
      </c>
      <c r="CU26" s="546">
        <f t="shared" si="2"/>
        <v>5059</v>
      </c>
      <c r="CV26" s="546">
        <f t="shared" si="3"/>
        <v>4216.3900000000003</v>
      </c>
      <c r="CW26" s="546">
        <f t="shared" si="4"/>
        <v>4216.3900000000003</v>
      </c>
      <c r="CX26" s="546">
        <f t="shared" si="5"/>
        <v>842.61</v>
      </c>
      <c r="CZ26" s="547" t="s">
        <v>460</v>
      </c>
      <c r="DA26" s="546">
        <v>-2561</v>
      </c>
      <c r="DB26" s="546">
        <f t="shared" si="40"/>
        <v>-2.5609999999999999</v>
      </c>
      <c r="DE26" s="544" t="s">
        <v>584</v>
      </c>
      <c r="DF26" s="545">
        <v>6175000</v>
      </c>
      <c r="DG26" s="545">
        <v>4958100</v>
      </c>
      <c r="DH26" s="545">
        <v>4958100</v>
      </c>
      <c r="DI26" s="545">
        <v>1216900</v>
      </c>
      <c r="DJ26" s="546">
        <f t="shared" si="41"/>
        <v>6175</v>
      </c>
      <c r="DK26" s="546">
        <f t="shared" si="42"/>
        <v>4958.1000000000004</v>
      </c>
      <c r="DL26" s="546">
        <f t="shared" si="43"/>
        <v>4958.1000000000004</v>
      </c>
      <c r="DM26" s="546">
        <f t="shared" si="44"/>
        <v>1216.9000000000001</v>
      </c>
      <c r="DP26" s="544" t="s">
        <v>348</v>
      </c>
      <c r="DQ26" s="545">
        <v>203235</v>
      </c>
      <c r="DR26" s="546">
        <f t="shared" si="45"/>
        <v>203.23500000000001</v>
      </c>
      <c r="DT26" s="544" t="s">
        <v>584</v>
      </c>
      <c r="DU26" s="545">
        <v>6494000</v>
      </c>
      <c r="DV26" s="545">
        <v>5436092</v>
      </c>
      <c r="DW26" s="545">
        <v>5436092</v>
      </c>
      <c r="DX26" s="545">
        <v>1057908</v>
      </c>
      <c r="DY26" s="546">
        <f t="shared" si="46"/>
        <v>6494</v>
      </c>
      <c r="DZ26" s="546">
        <f t="shared" si="47"/>
        <v>5436.0919999999996</v>
      </c>
      <c r="EA26" s="546">
        <f t="shared" si="48"/>
        <v>5436.0919999999996</v>
      </c>
      <c r="EB26" s="546">
        <f t="shared" si="49"/>
        <v>1057.9079999999999</v>
      </c>
      <c r="EE26" s="547" t="s">
        <v>353</v>
      </c>
      <c r="EF26" s="546">
        <v>184979388</v>
      </c>
      <c r="EG26" s="548">
        <f t="shared" si="50"/>
        <v>184979.38800000001</v>
      </c>
      <c r="EI26" s="547" t="s">
        <v>533</v>
      </c>
      <c r="EJ26" s="546">
        <v>600000</v>
      </c>
      <c r="EK26" s="546">
        <v>0</v>
      </c>
      <c r="EL26" s="546">
        <v>0</v>
      </c>
      <c r="EM26" s="548">
        <f t="shared" si="51"/>
        <v>600</v>
      </c>
      <c r="EN26" s="548">
        <f t="shared" si="52"/>
        <v>0</v>
      </c>
      <c r="EO26" s="548">
        <f t="shared" si="53"/>
        <v>0</v>
      </c>
      <c r="ER26" s="544" t="s">
        <v>354</v>
      </c>
      <c r="ES26" s="545">
        <v>23620608</v>
      </c>
      <c r="ET26" s="546">
        <f t="shared" si="54"/>
        <v>23620.608</v>
      </c>
      <c r="EW26" s="544" t="s">
        <v>533</v>
      </c>
      <c r="EX26" s="545">
        <v>0</v>
      </c>
      <c r="EY26" s="545">
        <v>600000</v>
      </c>
      <c r="EZ26" s="545">
        <v>0</v>
      </c>
      <c r="FA26" s="545">
        <v>0</v>
      </c>
      <c r="FB26" s="545">
        <v>600000</v>
      </c>
      <c r="FC26" s="546">
        <f t="shared" si="55"/>
        <v>0</v>
      </c>
      <c r="FD26" s="546">
        <f t="shared" si="56"/>
        <v>600</v>
      </c>
      <c r="FE26" s="546">
        <f t="shared" si="57"/>
        <v>0</v>
      </c>
      <c r="FF26" s="546">
        <f t="shared" si="58"/>
        <v>0</v>
      </c>
      <c r="FG26" s="546">
        <f t="shared" si="59"/>
        <v>600</v>
      </c>
      <c r="FJ26" s="547" t="s">
        <v>347</v>
      </c>
      <c r="FK26" s="546">
        <v>679250</v>
      </c>
      <c r="FL26" s="548">
        <f t="shared" si="60"/>
        <v>679.25</v>
      </c>
      <c r="FN26" s="549" t="s">
        <v>584</v>
      </c>
      <c r="FO26" s="550">
        <v>8453930</v>
      </c>
      <c r="FP26" s="550">
        <v>7089012</v>
      </c>
      <c r="FQ26" s="550">
        <v>7089012</v>
      </c>
      <c r="FR26" s="550">
        <f t="shared" si="61"/>
        <v>8453.93</v>
      </c>
      <c r="FS26" s="550">
        <f t="shared" si="62"/>
        <v>7089.0119999999997</v>
      </c>
      <c r="FT26" s="550">
        <f t="shared" si="63"/>
        <v>7089.0119999999997</v>
      </c>
    </row>
    <row r="27" spans="1:176" ht="15" customHeight="1" x14ac:dyDescent="0.25">
      <c r="A27" s="890" t="s">
        <v>890</v>
      </c>
      <c r="B27" s="544" t="s">
        <v>534</v>
      </c>
      <c r="C27" s="545">
        <v>0</v>
      </c>
      <c r="D27" s="545">
        <v>2000000</v>
      </c>
      <c r="E27" s="545">
        <v>0</v>
      </c>
      <c r="F27" s="545">
        <v>2000000</v>
      </c>
      <c r="G27" s="545">
        <v>0</v>
      </c>
      <c r="H27" s="546">
        <f t="shared" si="10"/>
        <v>2084</v>
      </c>
      <c r="I27" s="546">
        <f t="shared" si="11"/>
        <v>0</v>
      </c>
      <c r="J27" s="546">
        <f t="shared" si="12"/>
        <v>2084</v>
      </c>
      <c r="K27" s="546">
        <f t="shared" si="13"/>
        <v>0</v>
      </c>
      <c r="O27" s="544" t="s">
        <v>537</v>
      </c>
      <c r="P27" s="545">
        <v>13047712</v>
      </c>
      <c r="Q27" s="546">
        <f t="shared" si="14"/>
        <v>13595.715904000001</v>
      </c>
      <c r="S27" s="544" t="s">
        <v>534</v>
      </c>
      <c r="T27" s="545">
        <v>2000000</v>
      </c>
      <c r="U27" s="545">
        <v>0</v>
      </c>
      <c r="V27" s="545">
        <v>0</v>
      </c>
      <c r="W27" s="545">
        <v>2000000</v>
      </c>
      <c r="X27" s="546">
        <f t="shared" si="15"/>
        <v>2084</v>
      </c>
      <c r="Y27" s="546">
        <f t="shared" si="16"/>
        <v>0</v>
      </c>
      <c r="Z27" s="546">
        <f t="shared" si="17"/>
        <v>0</v>
      </c>
      <c r="AA27" s="546">
        <f t="shared" si="18"/>
        <v>2084</v>
      </c>
      <c r="AC27" s="544" t="s">
        <v>351</v>
      </c>
      <c r="AD27" s="545">
        <v>1550516999</v>
      </c>
      <c r="AE27" s="546">
        <f t="shared" si="19"/>
        <v>1550516.9990000001</v>
      </c>
      <c r="AG27" s="544" t="s">
        <v>534</v>
      </c>
      <c r="AH27" s="545">
        <v>2000000</v>
      </c>
      <c r="AI27" s="545">
        <v>0</v>
      </c>
      <c r="AJ27" s="545">
        <v>0</v>
      </c>
      <c r="AK27" s="545">
        <v>2000000</v>
      </c>
      <c r="AL27" s="545">
        <f t="shared" si="20"/>
        <v>2000</v>
      </c>
      <c r="AM27" s="545">
        <f t="shared" si="21"/>
        <v>0</v>
      </c>
      <c r="AN27" s="545">
        <f t="shared" si="22"/>
        <v>0</v>
      </c>
      <c r="AO27" s="545">
        <f t="shared" si="23"/>
        <v>2000</v>
      </c>
      <c r="AR27" s="544" t="s">
        <v>537</v>
      </c>
      <c r="AS27" s="545">
        <v>11786942</v>
      </c>
      <c r="AT27" s="545">
        <f t="shared" si="24"/>
        <v>11786.941999999999</v>
      </c>
      <c r="AV27" s="544" t="s">
        <v>534</v>
      </c>
      <c r="AW27" s="545">
        <v>2000000</v>
      </c>
      <c r="AX27" s="545">
        <v>0</v>
      </c>
      <c r="AY27" s="545">
        <v>0</v>
      </c>
      <c r="AZ27" s="545">
        <v>2000000</v>
      </c>
      <c r="BA27" s="546">
        <f t="shared" si="25"/>
        <v>2000</v>
      </c>
      <c r="BB27" s="546">
        <f t="shared" si="26"/>
        <v>0</v>
      </c>
      <c r="BC27" s="546">
        <f t="shared" si="27"/>
        <v>0</v>
      </c>
      <c r="BD27" s="546">
        <f t="shared" si="28"/>
        <v>2000</v>
      </c>
      <c r="BG27" s="544" t="s">
        <v>537</v>
      </c>
      <c r="BH27" s="545">
        <v>11786942</v>
      </c>
      <c r="BI27" s="545">
        <f t="shared" si="29"/>
        <v>11786.941999999999</v>
      </c>
      <c r="BK27" s="544" t="s">
        <v>534</v>
      </c>
      <c r="BL27" s="545">
        <v>2000000</v>
      </c>
      <c r="BM27" s="545">
        <v>0</v>
      </c>
      <c r="BN27" s="545">
        <v>0</v>
      </c>
      <c r="BO27" s="545">
        <v>2000000</v>
      </c>
      <c r="BP27" s="545">
        <f t="shared" si="30"/>
        <v>2000</v>
      </c>
      <c r="BQ27" s="545">
        <f t="shared" si="31"/>
        <v>0</v>
      </c>
      <c r="BR27" s="545">
        <f t="shared" si="32"/>
        <v>0</v>
      </c>
      <c r="BS27" s="545">
        <f t="shared" si="33"/>
        <v>2000</v>
      </c>
      <c r="BV27" s="544" t="s">
        <v>350</v>
      </c>
      <c r="BW27" s="545">
        <v>2080437600</v>
      </c>
      <c r="BX27" s="546">
        <f t="shared" si="34"/>
        <v>2080437.6</v>
      </c>
      <c r="BZ27" s="544" t="s">
        <v>534</v>
      </c>
      <c r="CA27" s="545">
        <v>2000000</v>
      </c>
      <c r="CB27" s="545">
        <v>0</v>
      </c>
      <c r="CC27" s="545">
        <v>0</v>
      </c>
      <c r="CD27" s="545">
        <v>2000000</v>
      </c>
      <c r="CE27" s="545">
        <f t="shared" si="35"/>
        <v>2000</v>
      </c>
      <c r="CF27" s="545">
        <f t="shared" si="36"/>
        <v>0</v>
      </c>
      <c r="CG27" s="545">
        <f t="shared" si="37"/>
        <v>0</v>
      </c>
      <c r="CH27" s="545">
        <f t="shared" si="38"/>
        <v>2000</v>
      </c>
      <c r="CK27" s="547" t="s">
        <v>350</v>
      </c>
      <c r="CL27" s="546">
        <v>1178338578</v>
      </c>
      <c r="CM27" s="546">
        <f t="shared" si="39"/>
        <v>1178338.578</v>
      </c>
      <c r="CP27" s="547" t="s">
        <v>534</v>
      </c>
      <c r="CQ27" s="546">
        <v>2000000</v>
      </c>
      <c r="CR27" s="546">
        <v>0</v>
      </c>
      <c r="CS27" s="546">
        <v>0</v>
      </c>
      <c r="CT27" s="546">
        <v>2000000</v>
      </c>
      <c r="CU27" s="546">
        <f t="shared" si="2"/>
        <v>2000</v>
      </c>
      <c r="CV27" s="546">
        <f t="shared" si="3"/>
        <v>0</v>
      </c>
      <c r="CW27" s="546">
        <f t="shared" si="4"/>
        <v>0</v>
      </c>
      <c r="CX27" s="546">
        <f t="shared" si="5"/>
        <v>2000</v>
      </c>
      <c r="CZ27" s="547" t="s">
        <v>350</v>
      </c>
      <c r="DA27" s="546">
        <v>1179380537</v>
      </c>
      <c r="DB27" s="546">
        <f t="shared" si="40"/>
        <v>1179380.537</v>
      </c>
      <c r="DE27" s="544" t="s">
        <v>534</v>
      </c>
      <c r="DF27" s="545">
        <v>2000000</v>
      </c>
      <c r="DG27" s="545">
        <v>0</v>
      </c>
      <c r="DH27" s="545">
        <v>0</v>
      </c>
      <c r="DI27" s="545">
        <v>2000000</v>
      </c>
      <c r="DJ27" s="546">
        <f t="shared" si="41"/>
        <v>2000</v>
      </c>
      <c r="DK27" s="546">
        <f t="shared" si="42"/>
        <v>0</v>
      </c>
      <c r="DL27" s="546">
        <f t="shared" si="43"/>
        <v>0</v>
      </c>
      <c r="DM27" s="546">
        <f t="shared" si="44"/>
        <v>2000</v>
      </c>
      <c r="DP27" s="544" t="s">
        <v>350</v>
      </c>
      <c r="DQ27" s="545">
        <v>2109184607</v>
      </c>
      <c r="DR27" s="546">
        <f t="shared" si="45"/>
        <v>2109184.6069999998</v>
      </c>
      <c r="DT27" s="544" t="s">
        <v>534</v>
      </c>
      <c r="DU27" s="545">
        <v>2000000</v>
      </c>
      <c r="DV27" s="545">
        <v>0</v>
      </c>
      <c r="DW27" s="545">
        <v>0</v>
      </c>
      <c r="DX27" s="545">
        <v>2000000</v>
      </c>
      <c r="DY27" s="546">
        <f t="shared" si="46"/>
        <v>2000</v>
      </c>
      <c r="DZ27" s="546">
        <f t="shared" si="47"/>
        <v>0</v>
      </c>
      <c r="EA27" s="546">
        <f t="shared" si="48"/>
        <v>0</v>
      </c>
      <c r="EB27" s="546">
        <f t="shared" si="49"/>
        <v>2000</v>
      </c>
      <c r="EE27" s="547" t="s">
        <v>354</v>
      </c>
      <c r="EF27" s="546">
        <v>24711469</v>
      </c>
      <c r="EG27" s="548">
        <f t="shared" si="50"/>
        <v>24711.469000000001</v>
      </c>
      <c r="EI27" s="547" t="s">
        <v>584</v>
      </c>
      <c r="EJ27" s="546">
        <v>7388000</v>
      </c>
      <c r="EK27" s="546">
        <v>6359109</v>
      </c>
      <c r="EL27" s="546">
        <v>6359109</v>
      </c>
      <c r="EM27" s="548">
        <f t="shared" si="51"/>
        <v>7388</v>
      </c>
      <c r="EN27" s="548">
        <f t="shared" si="52"/>
        <v>6359.1090000000004</v>
      </c>
      <c r="EO27" s="548">
        <f t="shared" si="53"/>
        <v>6359.1090000000004</v>
      </c>
      <c r="ER27" s="544" t="s">
        <v>537</v>
      </c>
      <c r="ES27" s="545">
        <v>12316456</v>
      </c>
      <c r="ET27" s="546">
        <f t="shared" si="54"/>
        <v>12316.456</v>
      </c>
      <c r="EW27" s="544" t="s">
        <v>584</v>
      </c>
      <c r="EX27" s="545">
        <v>0</v>
      </c>
      <c r="EY27" s="545">
        <v>7388000</v>
      </c>
      <c r="EZ27" s="545">
        <v>6891222</v>
      </c>
      <c r="FA27" s="545">
        <v>6891222</v>
      </c>
      <c r="FB27" s="545">
        <v>496778</v>
      </c>
      <c r="FC27" s="546">
        <f t="shared" si="55"/>
        <v>0</v>
      </c>
      <c r="FD27" s="546">
        <f t="shared" si="56"/>
        <v>7388</v>
      </c>
      <c r="FE27" s="546">
        <f t="shared" si="57"/>
        <v>6891.2219999999998</v>
      </c>
      <c r="FF27" s="546">
        <f t="shared" si="58"/>
        <v>6891.2219999999998</v>
      </c>
      <c r="FG27" s="546">
        <f t="shared" si="59"/>
        <v>496.77800000000002</v>
      </c>
      <c r="FJ27" s="547" t="s">
        <v>348</v>
      </c>
      <c r="FK27" s="546">
        <v>140182</v>
      </c>
      <c r="FL27" s="548">
        <f t="shared" si="60"/>
        <v>140.18199999999999</v>
      </c>
      <c r="FN27" s="549" t="s">
        <v>534</v>
      </c>
      <c r="FO27" s="550">
        <v>2000000</v>
      </c>
      <c r="FP27" s="550">
        <v>0</v>
      </c>
      <c r="FQ27" s="550">
        <v>0</v>
      </c>
      <c r="FR27" s="550">
        <f t="shared" si="61"/>
        <v>2000</v>
      </c>
      <c r="FS27" s="550">
        <f t="shared" si="62"/>
        <v>0</v>
      </c>
      <c r="FT27" s="550">
        <f t="shared" si="63"/>
        <v>0</v>
      </c>
    </row>
    <row r="28" spans="1:176" ht="15" customHeight="1" x14ac:dyDescent="0.25">
      <c r="A28" s="890" t="s">
        <v>889</v>
      </c>
      <c r="B28" s="544" t="s">
        <v>347</v>
      </c>
      <c r="C28" s="545">
        <v>0</v>
      </c>
      <c r="D28" s="545">
        <v>1110000</v>
      </c>
      <c r="E28" s="545">
        <v>0</v>
      </c>
      <c r="F28" s="545">
        <v>1110000</v>
      </c>
      <c r="G28" s="545">
        <v>0</v>
      </c>
      <c r="H28" s="546">
        <f t="shared" si="10"/>
        <v>1156.6200000000001</v>
      </c>
      <c r="I28" s="546">
        <f t="shared" si="11"/>
        <v>0</v>
      </c>
      <c r="J28" s="546">
        <f t="shared" si="12"/>
        <v>1156.6200000000001</v>
      </c>
      <c r="K28" s="546">
        <f t="shared" si="13"/>
        <v>0</v>
      </c>
      <c r="O28" s="544" t="s">
        <v>538</v>
      </c>
      <c r="P28" s="545">
        <v>171732468</v>
      </c>
      <c r="Q28" s="546">
        <f t="shared" si="14"/>
        <v>178945.23165599999</v>
      </c>
      <c r="S28" s="544" t="s">
        <v>347</v>
      </c>
      <c r="T28" s="545">
        <v>1110000</v>
      </c>
      <c r="U28" s="545">
        <v>0</v>
      </c>
      <c r="V28" s="545">
        <v>0</v>
      </c>
      <c r="W28" s="545">
        <v>1110000</v>
      </c>
      <c r="X28" s="546">
        <f t="shared" si="15"/>
        <v>1156.6200000000001</v>
      </c>
      <c r="Y28" s="546">
        <f t="shared" si="16"/>
        <v>0</v>
      </c>
      <c r="Z28" s="546">
        <f t="shared" si="17"/>
        <v>0</v>
      </c>
      <c r="AA28" s="546">
        <f t="shared" si="18"/>
        <v>1156.6200000000001</v>
      </c>
      <c r="AC28" s="544" t="s">
        <v>352</v>
      </c>
      <c r="AD28" s="545">
        <v>254715762</v>
      </c>
      <c r="AE28" s="546">
        <f t="shared" si="19"/>
        <v>254715.76199999999</v>
      </c>
      <c r="AG28" s="544" t="s">
        <v>347</v>
      </c>
      <c r="AH28" s="545">
        <v>1110000</v>
      </c>
      <c r="AI28" s="545">
        <v>165512</v>
      </c>
      <c r="AJ28" s="545">
        <v>165512</v>
      </c>
      <c r="AK28" s="545">
        <v>944488</v>
      </c>
      <c r="AL28" s="545">
        <f t="shared" si="20"/>
        <v>1110</v>
      </c>
      <c r="AM28" s="545">
        <f t="shared" si="21"/>
        <v>165.512</v>
      </c>
      <c r="AN28" s="545">
        <f t="shared" si="22"/>
        <v>165.512</v>
      </c>
      <c r="AO28" s="545">
        <f t="shared" si="23"/>
        <v>944.48800000000006</v>
      </c>
      <c r="AR28" s="544" t="s">
        <v>538</v>
      </c>
      <c r="AS28" s="545">
        <v>175870465</v>
      </c>
      <c r="AT28" s="545">
        <f t="shared" si="24"/>
        <v>175870.465</v>
      </c>
      <c r="AV28" s="544" t="s">
        <v>347</v>
      </c>
      <c r="AW28" s="545">
        <v>1110000</v>
      </c>
      <c r="AX28" s="545">
        <v>165512</v>
      </c>
      <c r="AY28" s="545">
        <v>165512</v>
      </c>
      <c r="AZ28" s="545">
        <v>944488</v>
      </c>
      <c r="BA28" s="546">
        <f t="shared" si="25"/>
        <v>1110</v>
      </c>
      <c r="BB28" s="546">
        <f t="shared" si="26"/>
        <v>165.512</v>
      </c>
      <c r="BC28" s="546">
        <f t="shared" si="27"/>
        <v>165.512</v>
      </c>
      <c r="BD28" s="546">
        <f t="shared" si="28"/>
        <v>944.48800000000006</v>
      </c>
      <c r="BG28" s="544" t="s">
        <v>538</v>
      </c>
      <c r="BH28" s="545">
        <v>175271281</v>
      </c>
      <c r="BI28" s="545">
        <f t="shared" si="29"/>
        <v>175271.28099999999</v>
      </c>
      <c r="BK28" s="544" t="s">
        <v>347</v>
      </c>
      <c r="BL28" s="545">
        <v>1110000</v>
      </c>
      <c r="BM28" s="545">
        <v>165512</v>
      </c>
      <c r="BN28" s="545">
        <v>165512</v>
      </c>
      <c r="BO28" s="545">
        <v>944488</v>
      </c>
      <c r="BP28" s="545">
        <f t="shared" si="30"/>
        <v>1110</v>
      </c>
      <c r="BQ28" s="545">
        <f t="shared" si="31"/>
        <v>165.512</v>
      </c>
      <c r="BR28" s="545">
        <f t="shared" si="32"/>
        <v>165.512</v>
      </c>
      <c r="BS28" s="545">
        <f t="shared" si="33"/>
        <v>944.48800000000006</v>
      </c>
      <c r="BV28" s="544" t="s">
        <v>351</v>
      </c>
      <c r="BW28" s="545">
        <v>1584988480</v>
      </c>
      <c r="BX28" s="546">
        <f t="shared" si="34"/>
        <v>1584988.48</v>
      </c>
      <c r="BZ28" s="544" t="s">
        <v>347</v>
      </c>
      <c r="CA28" s="545">
        <v>1275512</v>
      </c>
      <c r="CB28" s="545">
        <v>331024</v>
      </c>
      <c r="CC28" s="545">
        <v>331024</v>
      </c>
      <c r="CD28" s="545">
        <v>944488</v>
      </c>
      <c r="CE28" s="545">
        <f t="shared" si="35"/>
        <v>1275.5119999999999</v>
      </c>
      <c r="CF28" s="545">
        <f t="shared" si="36"/>
        <v>331.024</v>
      </c>
      <c r="CG28" s="545">
        <f t="shared" si="37"/>
        <v>331.024</v>
      </c>
      <c r="CH28" s="545">
        <f t="shared" si="38"/>
        <v>944.48800000000006</v>
      </c>
      <c r="CK28" s="547" t="s">
        <v>351</v>
      </c>
      <c r="CL28" s="546">
        <v>1093977664</v>
      </c>
      <c r="CM28" s="546">
        <f t="shared" si="39"/>
        <v>1093977.6640000001</v>
      </c>
      <c r="CP28" s="547" t="s">
        <v>347</v>
      </c>
      <c r="CQ28" s="546">
        <v>1275512</v>
      </c>
      <c r="CR28" s="546">
        <v>329090</v>
      </c>
      <c r="CS28" s="546">
        <v>329090</v>
      </c>
      <c r="CT28" s="546">
        <v>946422</v>
      </c>
      <c r="CU28" s="546">
        <f t="shared" si="2"/>
        <v>1275.5119999999999</v>
      </c>
      <c r="CV28" s="546">
        <f t="shared" si="3"/>
        <v>329.09</v>
      </c>
      <c r="CW28" s="546">
        <f t="shared" si="4"/>
        <v>329.09</v>
      </c>
      <c r="CX28" s="546">
        <f t="shared" si="5"/>
        <v>946.42200000000003</v>
      </c>
      <c r="CZ28" s="547" t="s">
        <v>351</v>
      </c>
      <c r="DA28" s="546">
        <v>1091330690</v>
      </c>
      <c r="DB28" s="546">
        <f t="shared" si="40"/>
        <v>1091330.69</v>
      </c>
      <c r="DE28" s="544" t="s">
        <v>347</v>
      </c>
      <c r="DF28" s="545">
        <v>1275512</v>
      </c>
      <c r="DG28" s="545">
        <v>326529</v>
      </c>
      <c r="DH28" s="545">
        <v>326529</v>
      </c>
      <c r="DI28" s="545">
        <v>948983</v>
      </c>
      <c r="DJ28" s="546">
        <f t="shared" si="41"/>
        <v>1275.5119999999999</v>
      </c>
      <c r="DK28" s="546">
        <f t="shared" si="42"/>
        <v>326.529</v>
      </c>
      <c r="DL28" s="546">
        <f t="shared" si="43"/>
        <v>326.529</v>
      </c>
      <c r="DM28" s="546">
        <f t="shared" si="44"/>
        <v>948.98299999999995</v>
      </c>
      <c r="DP28" s="544" t="s">
        <v>351</v>
      </c>
      <c r="DQ28" s="545">
        <v>1598754250</v>
      </c>
      <c r="DR28" s="546">
        <f t="shared" si="45"/>
        <v>1598754.25</v>
      </c>
      <c r="DT28" s="544" t="s">
        <v>347</v>
      </c>
      <c r="DU28" s="545">
        <v>1575512</v>
      </c>
      <c r="DV28" s="545">
        <v>529764</v>
      </c>
      <c r="DW28" s="545">
        <v>529764</v>
      </c>
      <c r="DX28" s="545">
        <v>1045748</v>
      </c>
      <c r="DY28" s="546">
        <f t="shared" si="46"/>
        <v>1575.5119999999999</v>
      </c>
      <c r="DZ28" s="546">
        <f t="shared" si="47"/>
        <v>529.76400000000001</v>
      </c>
      <c r="EA28" s="546">
        <f t="shared" si="48"/>
        <v>529.76400000000001</v>
      </c>
      <c r="EB28" s="546">
        <f t="shared" si="49"/>
        <v>1045.748</v>
      </c>
      <c r="EE28" s="547" t="s">
        <v>537</v>
      </c>
      <c r="EF28" s="546">
        <v>12370507</v>
      </c>
      <c r="EG28" s="548">
        <f t="shared" si="50"/>
        <v>12370.507</v>
      </c>
      <c r="EI28" s="547" t="s">
        <v>534</v>
      </c>
      <c r="EJ28" s="546">
        <v>2000000</v>
      </c>
      <c r="EK28" s="546">
        <v>0</v>
      </c>
      <c r="EL28" s="546">
        <v>0</v>
      </c>
      <c r="EM28" s="548">
        <f t="shared" si="51"/>
        <v>2000</v>
      </c>
      <c r="EN28" s="548">
        <f t="shared" si="52"/>
        <v>0</v>
      </c>
      <c r="EO28" s="548">
        <f t="shared" si="53"/>
        <v>0</v>
      </c>
      <c r="ER28" s="544" t="s">
        <v>538</v>
      </c>
      <c r="ES28" s="545">
        <v>176857494</v>
      </c>
      <c r="ET28" s="546">
        <f t="shared" si="54"/>
        <v>176857.49400000001</v>
      </c>
      <c r="EW28" s="544" t="s">
        <v>534</v>
      </c>
      <c r="EX28" s="545">
        <v>0</v>
      </c>
      <c r="EY28" s="545">
        <v>2000000</v>
      </c>
      <c r="EZ28" s="545">
        <v>0</v>
      </c>
      <c r="FA28" s="545">
        <v>0</v>
      </c>
      <c r="FB28" s="545">
        <v>2000000</v>
      </c>
      <c r="FC28" s="546">
        <f t="shared" si="55"/>
        <v>0</v>
      </c>
      <c r="FD28" s="546">
        <f t="shared" si="56"/>
        <v>2000</v>
      </c>
      <c r="FE28" s="546">
        <f t="shared" si="57"/>
        <v>0</v>
      </c>
      <c r="FF28" s="546">
        <f t="shared" si="58"/>
        <v>0</v>
      </c>
      <c r="FG28" s="546">
        <f t="shared" si="59"/>
        <v>2000</v>
      </c>
      <c r="FJ28" s="547" t="s">
        <v>349</v>
      </c>
      <c r="FK28" s="546">
        <v>539068</v>
      </c>
      <c r="FL28" s="548">
        <f t="shared" si="60"/>
        <v>539.06799999999998</v>
      </c>
      <c r="FN28" s="549" t="s">
        <v>347</v>
      </c>
      <c r="FO28" s="550">
        <v>1210551</v>
      </c>
      <c r="FP28" s="550">
        <v>1209014</v>
      </c>
      <c r="FQ28" s="550">
        <v>1209014</v>
      </c>
      <c r="FR28" s="550">
        <f t="shared" si="61"/>
        <v>1210.5509999999999</v>
      </c>
      <c r="FS28" s="550">
        <f t="shared" si="62"/>
        <v>1209.0139999999999</v>
      </c>
      <c r="FT28" s="550">
        <f t="shared" si="63"/>
        <v>1209.0139999999999</v>
      </c>
    </row>
    <row r="29" spans="1:176" ht="15" customHeight="1" x14ac:dyDescent="0.25">
      <c r="A29" s="890" t="s">
        <v>890</v>
      </c>
      <c r="B29" s="544" t="s">
        <v>348</v>
      </c>
      <c r="C29" s="545">
        <v>0</v>
      </c>
      <c r="D29" s="545">
        <v>10000</v>
      </c>
      <c r="E29" s="545">
        <v>0</v>
      </c>
      <c r="F29" s="545">
        <v>10000</v>
      </c>
      <c r="G29" s="545">
        <v>0</v>
      </c>
      <c r="H29" s="546">
        <f t="shared" si="10"/>
        <v>10.42</v>
      </c>
      <c r="I29" s="546">
        <f t="shared" si="11"/>
        <v>0</v>
      </c>
      <c r="J29" s="546">
        <f t="shared" si="12"/>
        <v>10.42</v>
      </c>
      <c r="K29" s="546">
        <f t="shared" si="13"/>
        <v>0</v>
      </c>
      <c r="O29" s="544" t="s">
        <v>539</v>
      </c>
      <c r="P29" s="545">
        <v>404577234</v>
      </c>
      <c r="Q29" s="546">
        <f t="shared" si="14"/>
        <v>421569.47782800003</v>
      </c>
      <c r="S29" s="544" t="s">
        <v>348</v>
      </c>
      <c r="T29" s="545">
        <v>10000</v>
      </c>
      <c r="U29" s="545">
        <v>0</v>
      </c>
      <c r="V29" s="545">
        <v>0</v>
      </c>
      <c r="W29" s="545">
        <v>10000</v>
      </c>
      <c r="X29" s="546">
        <f t="shared" si="15"/>
        <v>10.42</v>
      </c>
      <c r="Y29" s="546">
        <f t="shared" si="16"/>
        <v>0</v>
      </c>
      <c r="Z29" s="546">
        <f t="shared" si="17"/>
        <v>0</v>
      </c>
      <c r="AA29" s="546">
        <f t="shared" si="18"/>
        <v>10.42</v>
      </c>
      <c r="AC29" s="544" t="s">
        <v>535</v>
      </c>
      <c r="AD29" s="545">
        <v>12171579</v>
      </c>
      <c r="AE29" s="546">
        <f t="shared" si="19"/>
        <v>12171.579</v>
      </c>
      <c r="AG29" s="544" t="s">
        <v>348</v>
      </c>
      <c r="AH29" s="545">
        <v>10000</v>
      </c>
      <c r="AI29" s="545">
        <v>0</v>
      </c>
      <c r="AJ29" s="545">
        <v>0</v>
      </c>
      <c r="AK29" s="545">
        <v>10000</v>
      </c>
      <c r="AL29" s="545">
        <f t="shared" si="20"/>
        <v>10</v>
      </c>
      <c r="AM29" s="545">
        <f t="shared" si="21"/>
        <v>0</v>
      </c>
      <c r="AN29" s="545">
        <f t="shared" si="22"/>
        <v>0</v>
      </c>
      <c r="AO29" s="545">
        <f t="shared" si="23"/>
        <v>10</v>
      </c>
      <c r="AR29" s="544" t="s">
        <v>539</v>
      </c>
      <c r="AS29" s="545">
        <v>414978395</v>
      </c>
      <c r="AT29" s="545">
        <f t="shared" si="24"/>
        <v>414978.39500000002</v>
      </c>
      <c r="AV29" s="544" t="s">
        <v>348</v>
      </c>
      <c r="AW29" s="545">
        <v>10000</v>
      </c>
      <c r="AX29" s="545">
        <v>0</v>
      </c>
      <c r="AY29" s="545">
        <v>0</v>
      </c>
      <c r="AZ29" s="545">
        <v>10000</v>
      </c>
      <c r="BA29" s="546">
        <f t="shared" si="25"/>
        <v>10</v>
      </c>
      <c r="BB29" s="546">
        <f t="shared" si="26"/>
        <v>0</v>
      </c>
      <c r="BC29" s="546">
        <f t="shared" si="27"/>
        <v>0</v>
      </c>
      <c r="BD29" s="546">
        <f t="shared" si="28"/>
        <v>10</v>
      </c>
      <c r="BG29" s="544" t="s">
        <v>539</v>
      </c>
      <c r="BH29" s="545">
        <v>414307156</v>
      </c>
      <c r="BI29" s="545">
        <f t="shared" si="29"/>
        <v>414307.15600000002</v>
      </c>
      <c r="BK29" s="544" t="s">
        <v>348</v>
      </c>
      <c r="BL29" s="545">
        <v>10000</v>
      </c>
      <c r="BM29" s="545">
        <v>0</v>
      </c>
      <c r="BN29" s="545">
        <v>0</v>
      </c>
      <c r="BO29" s="545">
        <v>10000</v>
      </c>
      <c r="BP29" s="545">
        <f t="shared" si="30"/>
        <v>10</v>
      </c>
      <c r="BQ29" s="545">
        <f t="shared" si="31"/>
        <v>0</v>
      </c>
      <c r="BR29" s="545">
        <f t="shared" si="32"/>
        <v>0</v>
      </c>
      <c r="BS29" s="545">
        <f t="shared" si="33"/>
        <v>10</v>
      </c>
      <c r="BV29" s="544" t="s">
        <v>352</v>
      </c>
      <c r="BW29" s="545">
        <v>261152524</v>
      </c>
      <c r="BX29" s="546">
        <f t="shared" si="34"/>
        <v>261152.524</v>
      </c>
      <c r="BZ29" s="544" t="s">
        <v>348</v>
      </c>
      <c r="CA29" s="545">
        <v>10000</v>
      </c>
      <c r="CB29" s="545">
        <v>0</v>
      </c>
      <c r="CC29" s="545">
        <v>0</v>
      </c>
      <c r="CD29" s="545">
        <v>10000</v>
      </c>
      <c r="CE29" s="545">
        <f t="shared" si="35"/>
        <v>10</v>
      </c>
      <c r="CF29" s="545">
        <f t="shared" si="36"/>
        <v>0</v>
      </c>
      <c r="CG29" s="545">
        <f t="shared" si="37"/>
        <v>0</v>
      </c>
      <c r="CH29" s="545">
        <f t="shared" si="38"/>
        <v>10</v>
      </c>
      <c r="CK29" s="547" t="s">
        <v>352</v>
      </c>
      <c r="CL29" s="546">
        <v>261775830</v>
      </c>
      <c r="CM29" s="546">
        <f t="shared" si="39"/>
        <v>261775.83</v>
      </c>
      <c r="CP29" s="547" t="s">
        <v>348</v>
      </c>
      <c r="CQ29" s="546">
        <v>10000</v>
      </c>
      <c r="CR29" s="546">
        <v>0</v>
      </c>
      <c r="CS29" s="546">
        <v>0</v>
      </c>
      <c r="CT29" s="546">
        <v>10000</v>
      </c>
      <c r="CU29" s="546">
        <f t="shared" si="2"/>
        <v>10</v>
      </c>
      <c r="CV29" s="546">
        <f t="shared" si="3"/>
        <v>0</v>
      </c>
      <c r="CW29" s="546">
        <f t="shared" si="4"/>
        <v>0</v>
      </c>
      <c r="CX29" s="546">
        <f t="shared" si="5"/>
        <v>10</v>
      </c>
      <c r="CZ29" s="547" t="s">
        <v>352</v>
      </c>
      <c r="DA29" s="546">
        <v>260736664</v>
      </c>
      <c r="DB29" s="546">
        <f t="shared" si="40"/>
        <v>260736.66399999999</v>
      </c>
      <c r="DE29" s="544" t="s">
        <v>348</v>
      </c>
      <c r="DF29" s="545">
        <v>10000</v>
      </c>
      <c r="DG29" s="545">
        <v>0</v>
      </c>
      <c r="DH29" s="545">
        <v>0</v>
      </c>
      <c r="DI29" s="545">
        <v>10000</v>
      </c>
      <c r="DJ29" s="546">
        <f t="shared" si="41"/>
        <v>10</v>
      </c>
      <c r="DK29" s="546">
        <f t="shared" si="42"/>
        <v>0</v>
      </c>
      <c r="DL29" s="546">
        <f t="shared" si="43"/>
        <v>0</v>
      </c>
      <c r="DM29" s="546">
        <f t="shared" si="44"/>
        <v>10</v>
      </c>
      <c r="DP29" s="544" t="s">
        <v>352</v>
      </c>
      <c r="DQ29" s="545">
        <v>261049968</v>
      </c>
      <c r="DR29" s="546">
        <f t="shared" si="45"/>
        <v>261049.96799999999</v>
      </c>
      <c r="DT29" s="544" t="s">
        <v>348</v>
      </c>
      <c r="DU29" s="545">
        <v>310000</v>
      </c>
      <c r="DV29" s="545">
        <v>203235</v>
      </c>
      <c r="DW29" s="545">
        <v>203235</v>
      </c>
      <c r="DX29" s="545">
        <v>106765</v>
      </c>
      <c r="DY29" s="546">
        <f t="shared" si="46"/>
        <v>310</v>
      </c>
      <c r="DZ29" s="546">
        <f t="shared" si="47"/>
        <v>203.23500000000001</v>
      </c>
      <c r="EA29" s="546">
        <f t="shared" si="48"/>
        <v>203.23500000000001</v>
      </c>
      <c r="EB29" s="546">
        <f t="shared" si="49"/>
        <v>106.765</v>
      </c>
      <c r="EE29" s="547" t="s">
        <v>538</v>
      </c>
      <c r="EF29" s="546">
        <v>176622469</v>
      </c>
      <c r="EG29" s="548">
        <f t="shared" si="50"/>
        <v>176622.46900000001</v>
      </c>
      <c r="EI29" s="547" t="s">
        <v>347</v>
      </c>
      <c r="EJ29" s="546">
        <v>1575512</v>
      </c>
      <c r="EK29" s="546">
        <v>529764</v>
      </c>
      <c r="EL29" s="546">
        <v>529764</v>
      </c>
      <c r="EM29" s="548">
        <f t="shared" si="51"/>
        <v>1575.5119999999999</v>
      </c>
      <c r="EN29" s="548">
        <f t="shared" si="52"/>
        <v>529.76400000000001</v>
      </c>
      <c r="EO29" s="548">
        <f t="shared" si="53"/>
        <v>529.76400000000001</v>
      </c>
      <c r="ER29" s="544" t="s">
        <v>539</v>
      </c>
      <c r="ES29" s="545">
        <v>418168335</v>
      </c>
      <c r="ET29" s="546">
        <f t="shared" si="54"/>
        <v>418168.33500000002</v>
      </c>
      <c r="EW29" s="544" t="s">
        <v>347</v>
      </c>
      <c r="EX29" s="545">
        <v>0</v>
      </c>
      <c r="EY29" s="545">
        <v>1575512</v>
      </c>
      <c r="EZ29" s="545">
        <v>529764</v>
      </c>
      <c r="FA29" s="545">
        <v>529764</v>
      </c>
      <c r="FB29" s="545">
        <v>1045748</v>
      </c>
      <c r="FC29" s="546">
        <f t="shared" si="55"/>
        <v>0</v>
      </c>
      <c r="FD29" s="546">
        <f t="shared" si="56"/>
        <v>1575.5119999999999</v>
      </c>
      <c r="FE29" s="546">
        <f t="shared" si="57"/>
        <v>529.76400000000001</v>
      </c>
      <c r="FF29" s="546">
        <f t="shared" si="58"/>
        <v>529.76400000000001</v>
      </c>
      <c r="FG29" s="546">
        <f t="shared" si="59"/>
        <v>1045.748</v>
      </c>
      <c r="FJ29" s="547" t="s">
        <v>350</v>
      </c>
      <c r="FK29" s="546">
        <v>2202884511</v>
      </c>
      <c r="FL29" s="548">
        <f t="shared" si="60"/>
        <v>2202884.5109999999</v>
      </c>
      <c r="FN29" s="549" t="s">
        <v>348</v>
      </c>
      <c r="FO29" s="550">
        <v>344954</v>
      </c>
      <c r="FP29" s="550">
        <v>343417</v>
      </c>
      <c r="FQ29" s="550">
        <v>343417</v>
      </c>
      <c r="FR29" s="550">
        <f t="shared" si="61"/>
        <v>344.95400000000001</v>
      </c>
      <c r="FS29" s="550">
        <f t="shared" si="62"/>
        <v>343.41699999999997</v>
      </c>
      <c r="FT29" s="550">
        <f t="shared" si="63"/>
        <v>343.41699999999997</v>
      </c>
    </row>
    <row r="30" spans="1:176" ht="15" customHeight="1" x14ac:dyDescent="0.25">
      <c r="A30" s="890" t="s">
        <v>890</v>
      </c>
      <c r="B30" s="544" t="s">
        <v>460</v>
      </c>
      <c r="C30" s="545">
        <v>0</v>
      </c>
      <c r="D30" s="545">
        <v>320000</v>
      </c>
      <c r="E30" s="545">
        <v>0</v>
      </c>
      <c r="F30" s="545">
        <v>320000</v>
      </c>
      <c r="G30" s="545">
        <v>0</v>
      </c>
      <c r="H30" s="546">
        <f t="shared" si="10"/>
        <v>333.44</v>
      </c>
      <c r="I30" s="546">
        <f t="shared" si="11"/>
        <v>0</v>
      </c>
      <c r="J30" s="546">
        <f t="shared" si="12"/>
        <v>333.44</v>
      </c>
      <c r="K30" s="546">
        <f t="shared" si="13"/>
        <v>0</v>
      </c>
      <c r="O30" s="544" t="s">
        <v>542</v>
      </c>
      <c r="P30" s="545">
        <v>347866</v>
      </c>
      <c r="Q30" s="546">
        <f t="shared" si="14"/>
        <v>362.47637200000003</v>
      </c>
      <c r="S30" s="544" t="s">
        <v>460</v>
      </c>
      <c r="T30" s="545">
        <v>320000</v>
      </c>
      <c r="U30" s="545">
        <v>0</v>
      </c>
      <c r="V30" s="545">
        <v>0</v>
      </c>
      <c r="W30" s="545">
        <v>320000</v>
      </c>
      <c r="X30" s="546">
        <f t="shared" si="15"/>
        <v>333.44</v>
      </c>
      <c r="Y30" s="546">
        <f t="shared" si="16"/>
        <v>0</v>
      </c>
      <c r="Z30" s="546">
        <f t="shared" si="17"/>
        <v>0</v>
      </c>
      <c r="AA30" s="546">
        <f t="shared" si="18"/>
        <v>333.44</v>
      </c>
      <c r="AC30" s="544" t="s">
        <v>353</v>
      </c>
      <c r="AD30" s="545">
        <v>180662825</v>
      </c>
      <c r="AE30" s="546">
        <f t="shared" si="19"/>
        <v>180662.82500000001</v>
      </c>
      <c r="AG30" s="544" t="s">
        <v>460</v>
      </c>
      <c r="AH30" s="545">
        <v>320000</v>
      </c>
      <c r="AI30" s="545">
        <v>165512</v>
      </c>
      <c r="AJ30" s="545">
        <v>165512</v>
      </c>
      <c r="AK30" s="545">
        <v>154488</v>
      </c>
      <c r="AL30" s="545">
        <f t="shared" si="20"/>
        <v>320</v>
      </c>
      <c r="AM30" s="545">
        <f t="shared" si="21"/>
        <v>165.512</v>
      </c>
      <c r="AN30" s="545">
        <f t="shared" si="22"/>
        <v>165.512</v>
      </c>
      <c r="AO30" s="545">
        <f t="shared" si="23"/>
        <v>154.488</v>
      </c>
      <c r="AR30" s="544" t="s">
        <v>540</v>
      </c>
      <c r="AS30" s="545">
        <v>1071360</v>
      </c>
      <c r="AT30" s="545">
        <f t="shared" si="24"/>
        <v>1071.3599999999999</v>
      </c>
      <c r="AV30" s="544" t="s">
        <v>460</v>
      </c>
      <c r="AW30" s="545">
        <v>320000</v>
      </c>
      <c r="AX30" s="545">
        <v>165512</v>
      </c>
      <c r="AY30" s="545">
        <v>165512</v>
      </c>
      <c r="AZ30" s="545">
        <v>154488</v>
      </c>
      <c r="BA30" s="546">
        <f t="shared" si="25"/>
        <v>320</v>
      </c>
      <c r="BB30" s="546">
        <f t="shared" si="26"/>
        <v>165.512</v>
      </c>
      <c r="BC30" s="546">
        <f t="shared" si="27"/>
        <v>165.512</v>
      </c>
      <c r="BD30" s="546">
        <f t="shared" si="28"/>
        <v>154.488</v>
      </c>
      <c r="BG30" s="544" t="s">
        <v>542</v>
      </c>
      <c r="BH30" s="545">
        <v>347866</v>
      </c>
      <c r="BI30" s="545">
        <f t="shared" si="29"/>
        <v>347.86599999999999</v>
      </c>
      <c r="BK30" s="544" t="s">
        <v>460</v>
      </c>
      <c r="BL30" s="545">
        <v>320000</v>
      </c>
      <c r="BM30" s="545">
        <v>165512</v>
      </c>
      <c r="BN30" s="545">
        <v>165512</v>
      </c>
      <c r="BO30" s="545">
        <v>154488</v>
      </c>
      <c r="BP30" s="545">
        <f t="shared" si="30"/>
        <v>320</v>
      </c>
      <c r="BQ30" s="545">
        <f t="shared" si="31"/>
        <v>165.512</v>
      </c>
      <c r="BR30" s="545">
        <f t="shared" si="32"/>
        <v>165.512</v>
      </c>
      <c r="BS30" s="545">
        <f t="shared" si="33"/>
        <v>154.488</v>
      </c>
      <c r="BV30" s="544" t="s">
        <v>535</v>
      </c>
      <c r="BW30" s="545">
        <v>11855183</v>
      </c>
      <c r="BX30" s="546">
        <f t="shared" si="34"/>
        <v>11855.183000000001</v>
      </c>
      <c r="BZ30" s="544" t="s">
        <v>460</v>
      </c>
      <c r="CA30" s="545">
        <v>485512</v>
      </c>
      <c r="CB30" s="545">
        <v>331024</v>
      </c>
      <c r="CC30" s="545">
        <v>331024</v>
      </c>
      <c r="CD30" s="545">
        <v>154488</v>
      </c>
      <c r="CE30" s="545">
        <f t="shared" si="35"/>
        <v>485.512</v>
      </c>
      <c r="CF30" s="545">
        <f t="shared" si="36"/>
        <v>331.024</v>
      </c>
      <c r="CG30" s="545">
        <f t="shared" si="37"/>
        <v>331.024</v>
      </c>
      <c r="CH30" s="545">
        <f t="shared" si="38"/>
        <v>154.488</v>
      </c>
      <c r="CK30" s="547" t="s">
        <v>535</v>
      </c>
      <c r="CL30" s="546">
        <v>11823294</v>
      </c>
      <c r="CM30" s="546">
        <f t="shared" si="39"/>
        <v>11823.294</v>
      </c>
      <c r="CP30" s="547" t="s">
        <v>460</v>
      </c>
      <c r="CQ30" s="546">
        <v>485512</v>
      </c>
      <c r="CR30" s="546">
        <v>329090</v>
      </c>
      <c r="CS30" s="546">
        <v>329090</v>
      </c>
      <c r="CT30" s="546">
        <v>156422</v>
      </c>
      <c r="CU30" s="546">
        <f t="shared" si="2"/>
        <v>485.512</v>
      </c>
      <c r="CV30" s="546">
        <f t="shared" si="3"/>
        <v>329.09</v>
      </c>
      <c r="CW30" s="546">
        <f t="shared" si="4"/>
        <v>329.09</v>
      </c>
      <c r="CX30" s="546">
        <f t="shared" si="5"/>
        <v>156.422</v>
      </c>
      <c r="CZ30" s="547" t="s">
        <v>535</v>
      </c>
      <c r="DA30" s="546">
        <v>11908945</v>
      </c>
      <c r="DB30" s="546">
        <f t="shared" si="40"/>
        <v>11908.945</v>
      </c>
      <c r="DE30" s="544" t="s">
        <v>460</v>
      </c>
      <c r="DF30" s="545">
        <v>485512</v>
      </c>
      <c r="DG30" s="545">
        <v>326529</v>
      </c>
      <c r="DH30" s="545">
        <v>326529</v>
      </c>
      <c r="DI30" s="545">
        <v>158983</v>
      </c>
      <c r="DJ30" s="546">
        <f t="shared" si="41"/>
        <v>485.512</v>
      </c>
      <c r="DK30" s="546">
        <f t="shared" si="42"/>
        <v>326.529</v>
      </c>
      <c r="DL30" s="546">
        <f t="shared" si="43"/>
        <v>326.529</v>
      </c>
      <c r="DM30" s="546">
        <f t="shared" si="44"/>
        <v>158.983</v>
      </c>
      <c r="DP30" s="544" t="s">
        <v>535</v>
      </c>
      <c r="DQ30" s="545">
        <v>12064635</v>
      </c>
      <c r="DR30" s="546">
        <f t="shared" si="45"/>
        <v>12064.635</v>
      </c>
      <c r="DT30" s="544" t="s">
        <v>460</v>
      </c>
      <c r="DU30" s="545">
        <v>485512</v>
      </c>
      <c r="DV30" s="545">
        <v>326529</v>
      </c>
      <c r="DW30" s="545">
        <v>326529</v>
      </c>
      <c r="DX30" s="545">
        <v>158983</v>
      </c>
      <c r="DY30" s="546">
        <f t="shared" si="46"/>
        <v>485.512</v>
      </c>
      <c r="DZ30" s="546">
        <f t="shared" si="47"/>
        <v>326.529</v>
      </c>
      <c r="EA30" s="546">
        <f t="shared" si="48"/>
        <v>326.529</v>
      </c>
      <c r="EB30" s="546">
        <f t="shared" si="49"/>
        <v>158.983</v>
      </c>
      <c r="EE30" s="547" t="s">
        <v>539</v>
      </c>
      <c r="EF30" s="546">
        <v>417336849</v>
      </c>
      <c r="EG30" s="548">
        <f t="shared" si="50"/>
        <v>417336.84899999999</v>
      </c>
      <c r="EI30" s="547" t="s">
        <v>348</v>
      </c>
      <c r="EJ30" s="546">
        <v>310000</v>
      </c>
      <c r="EK30" s="546">
        <v>203235</v>
      </c>
      <c r="EL30" s="546">
        <v>203235</v>
      </c>
      <c r="EM30" s="548">
        <f t="shared" si="51"/>
        <v>310</v>
      </c>
      <c r="EN30" s="548">
        <f t="shared" si="52"/>
        <v>203.23500000000001</v>
      </c>
      <c r="EO30" s="548">
        <f t="shared" si="53"/>
        <v>203.23500000000001</v>
      </c>
      <c r="ER30" s="544" t="s">
        <v>542</v>
      </c>
      <c r="ES30" s="545">
        <v>349605</v>
      </c>
      <c r="ET30" s="546">
        <f t="shared" si="54"/>
        <v>349.60500000000002</v>
      </c>
      <c r="EW30" s="544" t="s">
        <v>348</v>
      </c>
      <c r="EX30" s="545">
        <v>0</v>
      </c>
      <c r="EY30" s="545">
        <v>310000</v>
      </c>
      <c r="EZ30" s="545">
        <v>203235</v>
      </c>
      <c r="FA30" s="545">
        <v>203235</v>
      </c>
      <c r="FB30" s="545">
        <v>106765</v>
      </c>
      <c r="FC30" s="546">
        <f t="shared" si="55"/>
        <v>0</v>
      </c>
      <c r="FD30" s="546">
        <f t="shared" si="56"/>
        <v>310</v>
      </c>
      <c r="FE30" s="546">
        <f t="shared" si="57"/>
        <v>203.23500000000001</v>
      </c>
      <c r="FF30" s="546">
        <f t="shared" si="58"/>
        <v>203.23500000000001</v>
      </c>
      <c r="FG30" s="546">
        <f t="shared" si="59"/>
        <v>106.765</v>
      </c>
      <c r="FJ30" s="547" t="s">
        <v>351</v>
      </c>
      <c r="FK30" s="546">
        <v>1628256951</v>
      </c>
      <c r="FL30" s="548">
        <f t="shared" si="60"/>
        <v>1628256.9509999999</v>
      </c>
      <c r="FN30" s="549" t="s">
        <v>460</v>
      </c>
      <c r="FO30" s="550">
        <v>326529</v>
      </c>
      <c r="FP30" s="550">
        <v>326529</v>
      </c>
      <c r="FQ30" s="550">
        <v>326529</v>
      </c>
      <c r="FR30" s="550">
        <f t="shared" si="61"/>
        <v>326.529</v>
      </c>
      <c r="FS30" s="550">
        <f t="shared" si="62"/>
        <v>326.529</v>
      </c>
      <c r="FT30" s="550">
        <f t="shared" si="63"/>
        <v>326.529</v>
      </c>
    </row>
    <row r="31" spans="1:176" ht="15" customHeight="1" x14ac:dyDescent="0.25">
      <c r="A31" s="890" t="s">
        <v>890</v>
      </c>
      <c r="B31" s="544" t="s">
        <v>349</v>
      </c>
      <c r="C31" s="545">
        <v>0</v>
      </c>
      <c r="D31" s="545">
        <v>780000</v>
      </c>
      <c r="E31" s="545">
        <v>0</v>
      </c>
      <c r="F31" s="545">
        <v>780000</v>
      </c>
      <c r="G31" s="545">
        <v>0</v>
      </c>
      <c r="H31" s="546">
        <f t="shared" si="10"/>
        <v>812.76</v>
      </c>
      <c r="I31" s="546">
        <f t="shared" si="11"/>
        <v>0</v>
      </c>
      <c r="J31" s="546">
        <f t="shared" si="12"/>
        <v>812.76</v>
      </c>
      <c r="K31" s="546">
        <f t="shared" si="13"/>
        <v>0</v>
      </c>
      <c r="O31" s="544" t="s">
        <v>355</v>
      </c>
      <c r="P31" s="545">
        <v>46826888</v>
      </c>
      <c r="Q31" s="546">
        <f t="shared" si="14"/>
        <v>48793.617296000004</v>
      </c>
      <c r="S31" s="544" t="s">
        <v>349</v>
      </c>
      <c r="T31" s="545">
        <v>780000</v>
      </c>
      <c r="U31" s="545">
        <v>0</v>
      </c>
      <c r="V31" s="545">
        <v>0</v>
      </c>
      <c r="W31" s="545">
        <v>780000</v>
      </c>
      <c r="X31" s="546">
        <f t="shared" si="15"/>
        <v>812.76</v>
      </c>
      <c r="Y31" s="546">
        <f t="shared" si="16"/>
        <v>0</v>
      </c>
      <c r="Z31" s="546">
        <f t="shared" si="17"/>
        <v>0</v>
      </c>
      <c r="AA31" s="546">
        <f t="shared" si="18"/>
        <v>812.76</v>
      </c>
      <c r="AC31" s="544" t="s">
        <v>354</v>
      </c>
      <c r="AD31" s="545">
        <v>23828207</v>
      </c>
      <c r="AE31" s="546">
        <f t="shared" si="19"/>
        <v>23828.206999999999</v>
      </c>
      <c r="AG31" s="544" t="s">
        <v>349</v>
      </c>
      <c r="AH31" s="545">
        <v>780000</v>
      </c>
      <c r="AI31" s="545">
        <v>0</v>
      </c>
      <c r="AJ31" s="545">
        <v>0</v>
      </c>
      <c r="AK31" s="545">
        <v>780000</v>
      </c>
      <c r="AL31" s="545">
        <f t="shared" si="20"/>
        <v>780</v>
      </c>
      <c r="AM31" s="545">
        <f t="shared" si="21"/>
        <v>0</v>
      </c>
      <c r="AN31" s="545">
        <f t="shared" si="22"/>
        <v>0</v>
      </c>
      <c r="AO31" s="545">
        <f t="shared" si="23"/>
        <v>780</v>
      </c>
      <c r="AR31" s="544" t="s">
        <v>542</v>
      </c>
      <c r="AS31" s="545">
        <v>347866</v>
      </c>
      <c r="AT31" s="545">
        <f t="shared" si="24"/>
        <v>347.86599999999999</v>
      </c>
      <c r="AV31" s="544" t="s">
        <v>349</v>
      </c>
      <c r="AW31" s="545">
        <v>780000</v>
      </c>
      <c r="AX31" s="545">
        <v>0</v>
      </c>
      <c r="AY31" s="545">
        <v>0</v>
      </c>
      <c r="AZ31" s="545">
        <v>780000</v>
      </c>
      <c r="BA31" s="546">
        <f t="shared" si="25"/>
        <v>780</v>
      </c>
      <c r="BB31" s="546">
        <f t="shared" si="26"/>
        <v>0</v>
      </c>
      <c r="BC31" s="546">
        <f t="shared" si="27"/>
        <v>0</v>
      </c>
      <c r="BD31" s="546">
        <f t="shared" si="28"/>
        <v>780</v>
      </c>
      <c r="BG31" s="544" t="s">
        <v>355</v>
      </c>
      <c r="BH31" s="545">
        <v>43619569</v>
      </c>
      <c r="BI31" s="545">
        <f t="shared" si="29"/>
        <v>43619.569000000003</v>
      </c>
      <c r="BK31" s="544" t="s">
        <v>349</v>
      </c>
      <c r="BL31" s="545">
        <v>780000</v>
      </c>
      <c r="BM31" s="545">
        <v>0</v>
      </c>
      <c r="BN31" s="545">
        <v>0</v>
      </c>
      <c r="BO31" s="545">
        <v>780000</v>
      </c>
      <c r="BP31" s="545">
        <f t="shared" si="30"/>
        <v>780</v>
      </c>
      <c r="BQ31" s="545">
        <f t="shared" si="31"/>
        <v>0</v>
      </c>
      <c r="BR31" s="545">
        <f t="shared" si="32"/>
        <v>0</v>
      </c>
      <c r="BS31" s="545">
        <f t="shared" si="33"/>
        <v>780</v>
      </c>
      <c r="BV31" s="544" t="s">
        <v>353</v>
      </c>
      <c r="BW31" s="545">
        <v>185908387</v>
      </c>
      <c r="BX31" s="546">
        <f t="shared" si="34"/>
        <v>185908.38699999999</v>
      </c>
      <c r="BZ31" s="544" t="s">
        <v>349</v>
      </c>
      <c r="CA31" s="545">
        <v>780000</v>
      </c>
      <c r="CB31" s="545">
        <v>0</v>
      </c>
      <c r="CC31" s="545">
        <v>0</v>
      </c>
      <c r="CD31" s="545">
        <v>780000</v>
      </c>
      <c r="CE31" s="545">
        <f t="shared" si="35"/>
        <v>780</v>
      </c>
      <c r="CF31" s="545">
        <f t="shared" si="36"/>
        <v>0</v>
      </c>
      <c r="CG31" s="545">
        <f t="shared" si="37"/>
        <v>0</v>
      </c>
      <c r="CH31" s="545">
        <f t="shared" si="38"/>
        <v>780</v>
      </c>
      <c r="CK31" s="547" t="s">
        <v>353</v>
      </c>
      <c r="CL31" s="546">
        <v>186248319</v>
      </c>
      <c r="CM31" s="546">
        <f t="shared" si="39"/>
        <v>186248.31899999999</v>
      </c>
      <c r="CP31" s="547" t="s">
        <v>349</v>
      </c>
      <c r="CQ31" s="546">
        <v>780000</v>
      </c>
      <c r="CR31" s="546">
        <v>0</v>
      </c>
      <c r="CS31" s="546">
        <v>0</v>
      </c>
      <c r="CT31" s="546">
        <v>780000</v>
      </c>
      <c r="CU31" s="546">
        <f t="shared" si="2"/>
        <v>780</v>
      </c>
      <c r="CV31" s="546">
        <f t="shared" si="3"/>
        <v>0</v>
      </c>
      <c r="CW31" s="546">
        <f t="shared" si="4"/>
        <v>0</v>
      </c>
      <c r="CX31" s="546">
        <f t="shared" si="5"/>
        <v>780</v>
      </c>
      <c r="CZ31" s="547" t="s">
        <v>353</v>
      </c>
      <c r="DA31" s="546">
        <v>185857975</v>
      </c>
      <c r="DB31" s="546">
        <f t="shared" si="40"/>
        <v>185857.97500000001</v>
      </c>
      <c r="DE31" s="544" t="s">
        <v>349</v>
      </c>
      <c r="DF31" s="545">
        <v>780000</v>
      </c>
      <c r="DG31" s="545">
        <v>0</v>
      </c>
      <c r="DH31" s="545">
        <v>0</v>
      </c>
      <c r="DI31" s="545">
        <v>780000</v>
      </c>
      <c r="DJ31" s="546">
        <f t="shared" si="41"/>
        <v>780</v>
      </c>
      <c r="DK31" s="546">
        <f t="shared" si="42"/>
        <v>0</v>
      </c>
      <c r="DL31" s="546">
        <f t="shared" si="43"/>
        <v>0</v>
      </c>
      <c r="DM31" s="546">
        <f t="shared" si="44"/>
        <v>780</v>
      </c>
      <c r="DP31" s="544" t="s">
        <v>353</v>
      </c>
      <c r="DQ31" s="545">
        <v>186622986</v>
      </c>
      <c r="DR31" s="546">
        <f t="shared" si="45"/>
        <v>186622.986</v>
      </c>
      <c r="DT31" s="544" t="s">
        <v>349</v>
      </c>
      <c r="DU31" s="545">
        <v>780000</v>
      </c>
      <c r="DV31" s="545">
        <v>0</v>
      </c>
      <c r="DW31" s="545">
        <v>0</v>
      </c>
      <c r="DX31" s="545">
        <v>780000</v>
      </c>
      <c r="DY31" s="546">
        <f t="shared" si="46"/>
        <v>780</v>
      </c>
      <c r="DZ31" s="546">
        <f t="shared" si="47"/>
        <v>0</v>
      </c>
      <c r="EA31" s="546">
        <f t="shared" si="48"/>
        <v>0</v>
      </c>
      <c r="EB31" s="546">
        <f t="shared" si="49"/>
        <v>780</v>
      </c>
      <c r="EE31" s="547" t="s">
        <v>540</v>
      </c>
      <c r="EF31" s="546">
        <v>173068</v>
      </c>
      <c r="EG31" s="548">
        <f t="shared" si="50"/>
        <v>173.06800000000001</v>
      </c>
      <c r="EI31" s="547" t="s">
        <v>460</v>
      </c>
      <c r="EJ31" s="546">
        <v>485512</v>
      </c>
      <c r="EK31" s="546">
        <v>326529</v>
      </c>
      <c r="EL31" s="546">
        <v>326529</v>
      </c>
      <c r="EM31" s="548">
        <f t="shared" si="51"/>
        <v>485.512</v>
      </c>
      <c r="EN31" s="548">
        <f t="shared" si="52"/>
        <v>326.529</v>
      </c>
      <c r="EO31" s="548">
        <f t="shared" si="53"/>
        <v>326.529</v>
      </c>
      <c r="ER31" s="544" t="s">
        <v>355</v>
      </c>
      <c r="ES31" s="545">
        <v>44389373</v>
      </c>
      <c r="ET31" s="546">
        <f t="shared" si="54"/>
        <v>44389.373</v>
      </c>
      <c r="EW31" s="544" t="s">
        <v>460</v>
      </c>
      <c r="EX31" s="545">
        <v>0</v>
      </c>
      <c r="EY31" s="545">
        <v>485512</v>
      </c>
      <c r="EZ31" s="545">
        <v>326529</v>
      </c>
      <c r="FA31" s="545">
        <v>326529</v>
      </c>
      <c r="FB31" s="545">
        <v>158983</v>
      </c>
      <c r="FC31" s="546">
        <f t="shared" si="55"/>
        <v>0</v>
      </c>
      <c r="FD31" s="546">
        <f t="shared" si="56"/>
        <v>485.512</v>
      </c>
      <c r="FE31" s="546">
        <f t="shared" si="57"/>
        <v>326.529</v>
      </c>
      <c r="FF31" s="546">
        <f t="shared" si="58"/>
        <v>326.529</v>
      </c>
      <c r="FG31" s="546">
        <f t="shared" si="59"/>
        <v>158.983</v>
      </c>
      <c r="FJ31" s="547" t="s">
        <v>352</v>
      </c>
      <c r="FK31" s="546">
        <v>267675488</v>
      </c>
      <c r="FL31" s="548">
        <f t="shared" si="60"/>
        <v>267675.48800000001</v>
      </c>
      <c r="FN31" s="549" t="s">
        <v>349</v>
      </c>
      <c r="FO31" s="550">
        <v>539068</v>
      </c>
      <c r="FP31" s="550">
        <v>539068</v>
      </c>
      <c r="FQ31" s="550">
        <v>539068</v>
      </c>
      <c r="FR31" s="550">
        <f t="shared" si="61"/>
        <v>539.06799999999998</v>
      </c>
      <c r="FS31" s="550">
        <f t="shared" si="62"/>
        <v>539.06799999999998</v>
      </c>
      <c r="FT31" s="550">
        <f t="shared" si="63"/>
        <v>539.06799999999998</v>
      </c>
    </row>
    <row r="32" spans="1:176" ht="15" customHeight="1" x14ac:dyDescent="0.25">
      <c r="A32" s="890" t="s">
        <v>888</v>
      </c>
      <c r="B32" s="544" t="s">
        <v>350</v>
      </c>
      <c r="C32" s="545">
        <v>0</v>
      </c>
      <c r="D32" s="545">
        <v>17005520500</v>
      </c>
      <c r="E32" s="545">
        <v>1121309759</v>
      </c>
      <c r="F32" s="545">
        <v>15884210741</v>
      </c>
      <c r="G32" s="545">
        <v>1121309759</v>
      </c>
      <c r="H32" s="546">
        <f t="shared" si="10"/>
        <v>17719752.361000001</v>
      </c>
      <c r="I32" s="546">
        <f t="shared" si="11"/>
        <v>1168404.7688780001</v>
      </c>
      <c r="J32" s="546">
        <f t="shared" si="12"/>
        <v>16551347.592122002</v>
      </c>
      <c r="K32" s="546">
        <f t="shared" si="13"/>
        <v>1168404.7688780001</v>
      </c>
      <c r="O32" s="544" t="s">
        <v>543</v>
      </c>
      <c r="P32" s="545">
        <v>8019053</v>
      </c>
      <c r="Q32" s="546">
        <f t="shared" si="14"/>
        <v>8355.8532260000011</v>
      </c>
      <c r="S32" s="544" t="s">
        <v>350</v>
      </c>
      <c r="T32" s="545">
        <v>17003020500</v>
      </c>
      <c r="U32" s="545">
        <v>2257517023</v>
      </c>
      <c r="V32" s="545">
        <v>2257517023</v>
      </c>
      <c r="W32" s="545">
        <v>14745503477</v>
      </c>
      <c r="X32" s="546">
        <f t="shared" si="15"/>
        <v>17717147.361000001</v>
      </c>
      <c r="Y32" s="546">
        <f t="shared" si="16"/>
        <v>2352332.7379660001</v>
      </c>
      <c r="Z32" s="546">
        <f t="shared" si="17"/>
        <v>2352332.7379660001</v>
      </c>
      <c r="AA32" s="546">
        <f t="shared" si="18"/>
        <v>15364814.623034</v>
      </c>
      <c r="AC32" s="544" t="s">
        <v>537</v>
      </c>
      <c r="AD32" s="545">
        <v>11786942</v>
      </c>
      <c r="AE32" s="546">
        <f t="shared" si="19"/>
        <v>11786.941999999999</v>
      </c>
      <c r="AG32" s="544" t="s">
        <v>350</v>
      </c>
      <c r="AH32" s="545">
        <v>17003020500</v>
      </c>
      <c r="AI32" s="545">
        <v>4288171488</v>
      </c>
      <c r="AJ32" s="545">
        <v>4288171488</v>
      </c>
      <c r="AK32" s="545">
        <v>12714849012</v>
      </c>
      <c r="AL32" s="545">
        <f t="shared" si="20"/>
        <v>17003020.5</v>
      </c>
      <c r="AM32" s="545">
        <f t="shared" si="21"/>
        <v>4288171.4879999999</v>
      </c>
      <c r="AN32" s="545">
        <f t="shared" si="22"/>
        <v>4288171.4879999999</v>
      </c>
      <c r="AO32" s="545">
        <f t="shared" si="23"/>
        <v>12714849.012</v>
      </c>
      <c r="AR32" s="544" t="s">
        <v>355</v>
      </c>
      <c r="AS32" s="545">
        <v>43653208</v>
      </c>
      <c r="AT32" s="545">
        <f t="shared" si="24"/>
        <v>43653.207999999999</v>
      </c>
      <c r="AV32" s="544" t="s">
        <v>350</v>
      </c>
      <c r="AW32" s="545">
        <v>17002820500</v>
      </c>
      <c r="AX32" s="545">
        <v>5453381058</v>
      </c>
      <c r="AY32" s="545">
        <v>5453381058</v>
      </c>
      <c r="AZ32" s="545">
        <v>11549439442</v>
      </c>
      <c r="BA32" s="546">
        <f t="shared" si="25"/>
        <v>17002820.5</v>
      </c>
      <c r="BB32" s="546">
        <f t="shared" si="26"/>
        <v>5453381.0580000002</v>
      </c>
      <c r="BC32" s="546">
        <f t="shared" si="27"/>
        <v>5453381.0580000002</v>
      </c>
      <c r="BD32" s="546">
        <f t="shared" si="28"/>
        <v>11549439.442</v>
      </c>
      <c r="BG32" s="544" t="s">
        <v>543</v>
      </c>
      <c r="BH32" s="545">
        <v>4089282</v>
      </c>
      <c r="BI32" s="545">
        <f t="shared" si="29"/>
        <v>4089.2820000000002</v>
      </c>
      <c r="BK32" s="544" t="s">
        <v>350</v>
      </c>
      <c r="BL32" s="545">
        <v>17003520500</v>
      </c>
      <c r="BM32" s="545">
        <v>6610051359</v>
      </c>
      <c r="BN32" s="545">
        <v>6610051359</v>
      </c>
      <c r="BO32" s="545">
        <v>10393469141</v>
      </c>
      <c r="BP32" s="545">
        <f t="shared" si="30"/>
        <v>17003520.5</v>
      </c>
      <c r="BQ32" s="545">
        <f t="shared" si="31"/>
        <v>6610051.3590000002</v>
      </c>
      <c r="BR32" s="545">
        <f t="shared" si="32"/>
        <v>6610051.3590000002</v>
      </c>
      <c r="BS32" s="545">
        <f t="shared" si="33"/>
        <v>10393469.141000001</v>
      </c>
      <c r="BV32" s="544" t="s">
        <v>354</v>
      </c>
      <c r="BW32" s="545">
        <v>24531343</v>
      </c>
      <c r="BX32" s="546">
        <f t="shared" si="34"/>
        <v>24531.343000000001</v>
      </c>
      <c r="BZ32" s="544" t="s">
        <v>350</v>
      </c>
      <c r="CA32" s="545">
        <v>16990784269</v>
      </c>
      <c r="CB32" s="545">
        <v>8690488959</v>
      </c>
      <c r="CC32" s="545">
        <v>8690488959</v>
      </c>
      <c r="CD32" s="545">
        <v>8300295310</v>
      </c>
      <c r="CE32" s="545">
        <f t="shared" si="35"/>
        <v>16990784.269000001</v>
      </c>
      <c r="CF32" s="545">
        <f t="shared" si="36"/>
        <v>8690488.9590000007</v>
      </c>
      <c r="CG32" s="545">
        <f t="shared" si="37"/>
        <v>8690488.9590000007</v>
      </c>
      <c r="CH32" s="545">
        <f t="shared" si="38"/>
        <v>8300295.3099999996</v>
      </c>
      <c r="CK32" s="547" t="s">
        <v>354</v>
      </c>
      <c r="CL32" s="546">
        <v>24189520</v>
      </c>
      <c r="CM32" s="546">
        <f t="shared" si="39"/>
        <v>24189.52</v>
      </c>
      <c r="CP32" s="547" t="s">
        <v>350</v>
      </c>
      <c r="CQ32" s="546">
        <v>16924735369</v>
      </c>
      <c r="CR32" s="546">
        <v>9868827537</v>
      </c>
      <c r="CS32" s="546">
        <v>9868827537</v>
      </c>
      <c r="CT32" s="546">
        <v>7055907832</v>
      </c>
      <c r="CU32" s="546">
        <f t="shared" si="2"/>
        <v>16924735.368999999</v>
      </c>
      <c r="CV32" s="546">
        <f t="shared" si="3"/>
        <v>9868827.5370000005</v>
      </c>
      <c r="CW32" s="546">
        <f t="shared" si="4"/>
        <v>9868827.5370000005</v>
      </c>
      <c r="CX32" s="546">
        <f t="shared" si="5"/>
        <v>7055907.8320000004</v>
      </c>
      <c r="CZ32" s="547" t="s">
        <v>354</v>
      </c>
      <c r="DA32" s="546">
        <v>24184690</v>
      </c>
      <c r="DB32" s="546">
        <f t="shared" si="40"/>
        <v>24184.69</v>
      </c>
      <c r="DE32" s="544" t="s">
        <v>350</v>
      </c>
      <c r="DF32" s="545">
        <v>16923619369</v>
      </c>
      <c r="DG32" s="545">
        <v>11048208074</v>
      </c>
      <c r="DH32" s="545">
        <v>11048208074</v>
      </c>
      <c r="DI32" s="545">
        <v>5875411295</v>
      </c>
      <c r="DJ32" s="546">
        <f t="shared" si="41"/>
        <v>16923619.368999999</v>
      </c>
      <c r="DK32" s="546">
        <f t="shared" si="42"/>
        <v>11048208.073999999</v>
      </c>
      <c r="DL32" s="546">
        <f t="shared" si="43"/>
        <v>11048208.073999999</v>
      </c>
      <c r="DM32" s="546">
        <f t="shared" si="44"/>
        <v>5875411.2949999999</v>
      </c>
      <c r="DP32" s="544" t="s">
        <v>354</v>
      </c>
      <c r="DQ32" s="545">
        <v>24209992</v>
      </c>
      <c r="DR32" s="546">
        <f t="shared" si="45"/>
        <v>24209.991999999998</v>
      </c>
      <c r="DT32" s="544" t="s">
        <v>350</v>
      </c>
      <c r="DU32" s="545">
        <v>16921613535</v>
      </c>
      <c r="DV32" s="545">
        <v>13157392681</v>
      </c>
      <c r="DW32" s="545">
        <v>13157392681</v>
      </c>
      <c r="DX32" s="545">
        <v>3764220854</v>
      </c>
      <c r="DY32" s="546">
        <f t="shared" si="46"/>
        <v>16921613.535</v>
      </c>
      <c r="DZ32" s="546">
        <f t="shared" si="47"/>
        <v>13157392.681</v>
      </c>
      <c r="EA32" s="546">
        <f t="shared" si="48"/>
        <v>13157392.681</v>
      </c>
      <c r="EB32" s="546">
        <f t="shared" si="49"/>
        <v>3764220.8539999998</v>
      </c>
      <c r="EE32" s="547" t="s">
        <v>542</v>
      </c>
      <c r="EF32" s="546">
        <v>349261</v>
      </c>
      <c r="EG32" s="548">
        <f t="shared" si="50"/>
        <v>349.26100000000002</v>
      </c>
      <c r="EI32" s="547" t="s">
        <v>349</v>
      </c>
      <c r="EJ32" s="546">
        <v>780000</v>
      </c>
      <c r="EK32" s="546">
        <v>0</v>
      </c>
      <c r="EL32" s="546">
        <v>0</v>
      </c>
      <c r="EM32" s="548">
        <f t="shared" si="51"/>
        <v>780</v>
      </c>
      <c r="EN32" s="548">
        <f t="shared" si="52"/>
        <v>0</v>
      </c>
      <c r="EO32" s="548">
        <f t="shared" si="53"/>
        <v>0</v>
      </c>
      <c r="ER32" s="544" t="s">
        <v>543</v>
      </c>
      <c r="ES32" s="545">
        <v>4190789</v>
      </c>
      <c r="ET32" s="546">
        <f t="shared" si="54"/>
        <v>4190.7889999999998</v>
      </c>
      <c r="EW32" s="544" t="s">
        <v>349</v>
      </c>
      <c r="EX32" s="545">
        <v>0</v>
      </c>
      <c r="EY32" s="545">
        <v>780000</v>
      </c>
      <c r="EZ32" s="545">
        <v>0</v>
      </c>
      <c r="FA32" s="545">
        <v>0</v>
      </c>
      <c r="FB32" s="545">
        <v>780000</v>
      </c>
      <c r="FC32" s="546">
        <f t="shared" si="55"/>
        <v>0</v>
      </c>
      <c r="FD32" s="546">
        <f t="shared" si="56"/>
        <v>780</v>
      </c>
      <c r="FE32" s="546">
        <f t="shared" si="57"/>
        <v>0</v>
      </c>
      <c r="FF32" s="546">
        <f t="shared" si="58"/>
        <v>0</v>
      </c>
      <c r="FG32" s="546">
        <f t="shared" si="59"/>
        <v>780</v>
      </c>
      <c r="FJ32" s="547" t="s">
        <v>535</v>
      </c>
      <c r="FK32" s="546">
        <v>12681060</v>
      </c>
      <c r="FL32" s="548">
        <f t="shared" si="60"/>
        <v>12681.06</v>
      </c>
      <c r="FN32" s="549" t="s">
        <v>350</v>
      </c>
      <c r="FO32" s="550">
        <v>18111575655</v>
      </c>
      <c r="FP32" s="550">
        <v>17698427836</v>
      </c>
      <c r="FQ32" s="550">
        <v>17698427836</v>
      </c>
      <c r="FR32" s="550">
        <f t="shared" si="61"/>
        <v>18111575.655000001</v>
      </c>
      <c r="FS32" s="550">
        <f t="shared" si="62"/>
        <v>17698427.835999999</v>
      </c>
      <c r="FT32" s="550">
        <f t="shared" si="63"/>
        <v>17698427.835999999</v>
      </c>
    </row>
    <row r="33" spans="1:176" ht="15" customHeight="1" x14ac:dyDescent="0.25">
      <c r="A33" s="890" t="s">
        <v>889</v>
      </c>
      <c r="B33" s="544" t="s">
        <v>351</v>
      </c>
      <c r="C33" s="545">
        <v>0</v>
      </c>
      <c r="D33" s="545">
        <v>14581439994</v>
      </c>
      <c r="E33" s="545">
        <v>1055400744</v>
      </c>
      <c r="F33" s="545">
        <v>13526039250</v>
      </c>
      <c r="G33" s="545">
        <v>1055400744</v>
      </c>
      <c r="H33" s="546">
        <f t="shared" si="10"/>
        <v>15193860.473748002</v>
      </c>
      <c r="I33" s="546">
        <f t="shared" si="11"/>
        <v>1099727.575248</v>
      </c>
      <c r="J33" s="546">
        <f t="shared" si="12"/>
        <v>14094132.898500001</v>
      </c>
      <c r="K33" s="546">
        <f t="shared" si="13"/>
        <v>1099727.575248</v>
      </c>
      <c r="O33" s="544" t="s">
        <v>544</v>
      </c>
      <c r="P33" s="545">
        <v>38807835</v>
      </c>
      <c r="Q33" s="546">
        <f t="shared" si="14"/>
        <v>40437.764069999997</v>
      </c>
      <c r="S33" s="544" t="s">
        <v>351</v>
      </c>
      <c r="T33" s="545">
        <v>14582440000</v>
      </c>
      <c r="U33" s="545">
        <v>2114400310</v>
      </c>
      <c r="V33" s="545">
        <v>2114400310</v>
      </c>
      <c r="W33" s="545">
        <v>12468039690</v>
      </c>
      <c r="X33" s="546">
        <f t="shared" si="15"/>
        <v>15194902.48</v>
      </c>
      <c r="Y33" s="546">
        <f t="shared" si="16"/>
        <v>2203205.1230200003</v>
      </c>
      <c r="Z33" s="546">
        <f t="shared" si="17"/>
        <v>2203205.1230200003</v>
      </c>
      <c r="AA33" s="546">
        <f t="shared" si="18"/>
        <v>12991697.35698</v>
      </c>
      <c r="AC33" s="544" t="s">
        <v>538</v>
      </c>
      <c r="AD33" s="545">
        <v>262203438</v>
      </c>
      <c r="AE33" s="546">
        <f t="shared" si="19"/>
        <v>262203.43800000002</v>
      </c>
      <c r="AG33" s="544" t="s">
        <v>351</v>
      </c>
      <c r="AH33" s="545">
        <v>14582440000</v>
      </c>
      <c r="AI33" s="545">
        <v>3664917309</v>
      </c>
      <c r="AJ33" s="545">
        <v>3664917309</v>
      </c>
      <c r="AK33" s="545">
        <v>10917522691</v>
      </c>
      <c r="AL33" s="545">
        <f t="shared" si="20"/>
        <v>14582440</v>
      </c>
      <c r="AM33" s="545">
        <f t="shared" si="21"/>
        <v>3664917.3089999999</v>
      </c>
      <c r="AN33" s="545">
        <f t="shared" si="22"/>
        <v>3664917.3089999999</v>
      </c>
      <c r="AO33" s="545">
        <f t="shared" si="23"/>
        <v>10917522.691</v>
      </c>
      <c r="AR33" s="544" t="s">
        <v>543</v>
      </c>
      <c r="AS33" s="545">
        <v>4089282</v>
      </c>
      <c r="AT33" s="545">
        <f t="shared" si="24"/>
        <v>4089.2820000000002</v>
      </c>
      <c r="AV33" s="544" t="s">
        <v>351</v>
      </c>
      <c r="AW33" s="545">
        <v>14581940000</v>
      </c>
      <c r="AX33" s="545">
        <v>4748009831</v>
      </c>
      <c r="AY33" s="545">
        <v>4748009831</v>
      </c>
      <c r="AZ33" s="545">
        <v>9833930169</v>
      </c>
      <c r="BA33" s="546">
        <f t="shared" si="25"/>
        <v>14581940</v>
      </c>
      <c r="BB33" s="546">
        <f t="shared" si="26"/>
        <v>4748009.8310000002</v>
      </c>
      <c r="BC33" s="546">
        <f t="shared" si="27"/>
        <v>4748009.8310000002</v>
      </c>
      <c r="BD33" s="546">
        <f t="shared" si="28"/>
        <v>9833930.1689999998</v>
      </c>
      <c r="BG33" s="544" t="s">
        <v>544</v>
      </c>
      <c r="BH33" s="545">
        <v>39530287</v>
      </c>
      <c r="BI33" s="545">
        <f t="shared" si="29"/>
        <v>39530.286999999997</v>
      </c>
      <c r="BK33" s="544" t="s">
        <v>351</v>
      </c>
      <c r="BL33" s="545">
        <v>14581940000</v>
      </c>
      <c r="BM33" s="545">
        <v>5827863402</v>
      </c>
      <c r="BN33" s="545">
        <v>5827863402</v>
      </c>
      <c r="BO33" s="545">
        <v>8754076598</v>
      </c>
      <c r="BP33" s="545">
        <f t="shared" si="30"/>
        <v>14581940</v>
      </c>
      <c r="BQ33" s="545">
        <f t="shared" si="31"/>
        <v>5827863.4019999998</v>
      </c>
      <c r="BR33" s="545">
        <f t="shared" si="32"/>
        <v>5827863.4019999998</v>
      </c>
      <c r="BS33" s="545">
        <f t="shared" si="33"/>
        <v>8754076.5979999993</v>
      </c>
      <c r="BV33" s="544" t="s">
        <v>537</v>
      </c>
      <c r="BW33" s="545">
        <v>11845881</v>
      </c>
      <c r="BX33" s="546">
        <f t="shared" si="34"/>
        <v>11845.880999999999</v>
      </c>
      <c r="BZ33" s="544" t="s">
        <v>351</v>
      </c>
      <c r="CA33" s="545">
        <v>14559322339</v>
      </c>
      <c r="CB33" s="545">
        <v>7412851882</v>
      </c>
      <c r="CC33" s="545">
        <v>7412851882</v>
      </c>
      <c r="CD33" s="545">
        <v>7146470457</v>
      </c>
      <c r="CE33" s="545">
        <f t="shared" si="35"/>
        <v>14559322.339</v>
      </c>
      <c r="CF33" s="545">
        <f t="shared" si="36"/>
        <v>7412851.8820000002</v>
      </c>
      <c r="CG33" s="545">
        <f t="shared" si="37"/>
        <v>7412851.8820000002</v>
      </c>
      <c r="CH33" s="545">
        <f t="shared" si="38"/>
        <v>7146470.4570000004</v>
      </c>
      <c r="CK33" s="547" t="s">
        <v>537</v>
      </c>
      <c r="CL33" s="546">
        <v>11843946</v>
      </c>
      <c r="CM33" s="546">
        <f t="shared" si="39"/>
        <v>11843.946</v>
      </c>
      <c r="CP33" s="547" t="s">
        <v>351</v>
      </c>
      <c r="CQ33" s="546">
        <v>14450541173</v>
      </c>
      <c r="CR33" s="546">
        <v>8506829546</v>
      </c>
      <c r="CS33" s="546">
        <v>8506829546</v>
      </c>
      <c r="CT33" s="546">
        <v>5943711627</v>
      </c>
      <c r="CU33" s="546">
        <f t="shared" si="2"/>
        <v>14450541.173</v>
      </c>
      <c r="CV33" s="546">
        <f t="shared" si="3"/>
        <v>8506829.5460000001</v>
      </c>
      <c r="CW33" s="546">
        <f t="shared" si="4"/>
        <v>8506829.5460000001</v>
      </c>
      <c r="CX33" s="546">
        <f t="shared" si="5"/>
        <v>5943711.6270000003</v>
      </c>
      <c r="CZ33" s="547" t="s">
        <v>537</v>
      </c>
      <c r="DA33" s="546">
        <v>11839116</v>
      </c>
      <c r="DB33" s="546">
        <f t="shared" si="40"/>
        <v>11839.116</v>
      </c>
      <c r="DE33" s="544" t="s">
        <v>351</v>
      </c>
      <c r="DF33" s="545">
        <v>14450541173</v>
      </c>
      <c r="DG33" s="545">
        <v>9598160236</v>
      </c>
      <c r="DH33" s="545">
        <v>9598160236</v>
      </c>
      <c r="DI33" s="545">
        <v>4852380937</v>
      </c>
      <c r="DJ33" s="546">
        <f t="shared" si="41"/>
        <v>14450541.173</v>
      </c>
      <c r="DK33" s="546">
        <f t="shared" si="42"/>
        <v>9598160.2359999996</v>
      </c>
      <c r="DL33" s="546">
        <f t="shared" si="43"/>
        <v>9598160.2359999996</v>
      </c>
      <c r="DM33" s="546">
        <f t="shared" si="44"/>
        <v>4852380.9369999999</v>
      </c>
      <c r="DP33" s="544" t="s">
        <v>537</v>
      </c>
      <c r="DQ33" s="545">
        <v>15704371</v>
      </c>
      <c r="DR33" s="546">
        <f t="shared" si="45"/>
        <v>15704.370999999999</v>
      </c>
      <c r="DT33" s="544" t="s">
        <v>351</v>
      </c>
      <c r="DU33" s="545">
        <v>14425854339</v>
      </c>
      <c r="DV33" s="545">
        <v>11196914486</v>
      </c>
      <c r="DW33" s="545">
        <v>11196914486</v>
      </c>
      <c r="DX33" s="545">
        <v>3228939853</v>
      </c>
      <c r="DY33" s="546">
        <f t="shared" si="46"/>
        <v>14425854.339</v>
      </c>
      <c r="DZ33" s="546">
        <f t="shared" si="47"/>
        <v>11196914.486</v>
      </c>
      <c r="EA33" s="546">
        <f t="shared" si="48"/>
        <v>11196914.486</v>
      </c>
      <c r="EB33" s="546">
        <f t="shared" si="49"/>
        <v>3228939.8530000001</v>
      </c>
      <c r="EE33" s="547" t="s">
        <v>355</v>
      </c>
      <c r="EF33" s="546">
        <v>44273945</v>
      </c>
      <c r="EG33" s="548">
        <f t="shared" si="50"/>
        <v>44273.945</v>
      </c>
      <c r="EI33" s="547" t="s">
        <v>350</v>
      </c>
      <c r="EJ33" s="546">
        <v>16918056500</v>
      </c>
      <c r="EK33" s="546">
        <v>14323527417</v>
      </c>
      <c r="EL33" s="546">
        <v>14323527417</v>
      </c>
      <c r="EM33" s="548">
        <f t="shared" si="51"/>
        <v>16918056.5</v>
      </c>
      <c r="EN33" s="548">
        <f t="shared" si="52"/>
        <v>14323527.416999999</v>
      </c>
      <c r="EO33" s="548">
        <f t="shared" si="53"/>
        <v>14323527.416999999</v>
      </c>
      <c r="ER33" s="544" t="s">
        <v>544</v>
      </c>
      <c r="ES33" s="545">
        <v>40198584</v>
      </c>
      <c r="ET33" s="546">
        <f t="shared" si="54"/>
        <v>40198.584000000003</v>
      </c>
      <c r="EW33" s="544" t="s">
        <v>350</v>
      </c>
      <c r="EX33" s="545">
        <v>0</v>
      </c>
      <c r="EY33" s="545">
        <v>16914056500</v>
      </c>
      <c r="EZ33" s="545">
        <v>15495543325</v>
      </c>
      <c r="FA33" s="545">
        <v>15495543325</v>
      </c>
      <c r="FB33" s="545">
        <v>1418513175</v>
      </c>
      <c r="FC33" s="546">
        <f t="shared" si="55"/>
        <v>0</v>
      </c>
      <c r="FD33" s="546">
        <f t="shared" si="56"/>
        <v>16914056.5</v>
      </c>
      <c r="FE33" s="546">
        <f t="shared" si="57"/>
        <v>15495543.324999999</v>
      </c>
      <c r="FF33" s="546">
        <f t="shared" si="58"/>
        <v>15495543.324999999</v>
      </c>
      <c r="FG33" s="546">
        <f t="shared" si="59"/>
        <v>1418513.175</v>
      </c>
      <c r="FJ33" s="547" t="s">
        <v>353</v>
      </c>
      <c r="FK33" s="546">
        <v>190611509</v>
      </c>
      <c r="FL33" s="548">
        <f t="shared" si="60"/>
        <v>190611.50899999999</v>
      </c>
      <c r="FN33" s="549" t="s">
        <v>351</v>
      </c>
      <c r="FO33" s="550">
        <v>15374928512</v>
      </c>
      <c r="FP33" s="550">
        <v>15005106897</v>
      </c>
      <c r="FQ33" s="550">
        <v>15005106897</v>
      </c>
      <c r="FR33" s="550">
        <f t="shared" si="61"/>
        <v>15374928.512</v>
      </c>
      <c r="FS33" s="550">
        <f t="shared" si="62"/>
        <v>15005106.897</v>
      </c>
      <c r="FT33" s="550">
        <f t="shared" si="63"/>
        <v>15005106.897</v>
      </c>
    </row>
    <row r="34" spans="1:176" ht="15" customHeight="1" x14ac:dyDescent="0.25">
      <c r="A34" s="890" t="s">
        <v>890</v>
      </c>
      <c r="B34" s="544" t="s">
        <v>352</v>
      </c>
      <c r="C34" s="545">
        <v>0</v>
      </c>
      <c r="D34" s="545">
        <v>3314312128</v>
      </c>
      <c r="E34" s="545">
        <v>252675135</v>
      </c>
      <c r="F34" s="545">
        <v>3061636993</v>
      </c>
      <c r="G34" s="545">
        <v>252675135</v>
      </c>
      <c r="H34" s="546">
        <f t="shared" si="10"/>
        <v>3453513.2373760003</v>
      </c>
      <c r="I34" s="546">
        <f t="shared" si="11"/>
        <v>263287.49067000003</v>
      </c>
      <c r="J34" s="546">
        <f t="shared" si="12"/>
        <v>3190225.7467060001</v>
      </c>
      <c r="K34" s="546">
        <f t="shared" si="13"/>
        <v>263287.49067000003</v>
      </c>
      <c r="O34" s="544" t="s">
        <v>357</v>
      </c>
      <c r="P34" s="545">
        <v>30380810</v>
      </c>
      <c r="Q34" s="546">
        <f t="shared" si="14"/>
        <v>31656.804020000003</v>
      </c>
      <c r="S34" s="544" t="s">
        <v>352</v>
      </c>
      <c r="T34" s="545">
        <v>3314964268</v>
      </c>
      <c r="U34" s="545">
        <v>506194919</v>
      </c>
      <c r="V34" s="545">
        <v>506194919</v>
      </c>
      <c r="W34" s="545">
        <v>2808769349</v>
      </c>
      <c r="X34" s="546">
        <f t="shared" si="15"/>
        <v>3454192.7672560001</v>
      </c>
      <c r="Y34" s="546">
        <f t="shared" si="16"/>
        <v>527455.10559799999</v>
      </c>
      <c r="Z34" s="546">
        <f t="shared" si="17"/>
        <v>527455.10559799999</v>
      </c>
      <c r="AA34" s="546">
        <f t="shared" si="18"/>
        <v>2926737.6616580002</v>
      </c>
      <c r="AC34" s="544" t="s">
        <v>539</v>
      </c>
      <c r="AD34" s="545">
        <v>407783246</v>
      </c>
      <c r="AE34" s="546">
        <f t="shared" si="19"/>
        <v>407783.24599999998</v>
      </c>
      <c r="AG34" s="544" t="s">
        <v>352</v>
      </c>
      <c r="AH34" s="545">
        <v>3300964268</v>
      </c>
      <c r="AI34" s="545">
        <v>760910681</v>
      </c>
      <c r="AJ34" s="545">
        <v>760910681</v>
      </c>
      <c r="AK34" s="545">
        <v>2540053587</v>
      </c>
      <c r="AL34" s="545">
        <f t="shared" si="20"/>
        <v>3300964.2680000002</v>
      </c>
      <c r="AM34" s="545">
        <f t="shared" si="21"/>
        <v>760910.68099999998</v>
      </c>
      <c r="AN34" s="545">
        <f t="shared" si="22"/>
        <v>760910.68099999998</v>
      </c>
      <c r="AO34" s="545">
        <f t="shared" si="23"/>
        <v>2540053.5869999998</v>
      </c>
      <c r="AR34" s="544" t="s">
        <v>544</v>
      </c>
      <c r="AS34" s="545">
        <v>39563926</v>
      </c>
      <c r="AT34" s="545">
        <f t="shared" si="24"/>
        <v>39563.925999999999</v>
      </c>
      <c r="AV34" s="544" t="s">
        <v>352</v>
      </c>
      <c r="AW34" s="545">
        <v>3300464268</v>
      </c>
      <c r="AX34" s="545">
        <v>1018995967</v>
      </c>
      <c r="AY34" s="545">
        <v>1018995967</v>
      </c>
      <c r="AZ34" s="545">
        <v>2281468301</v>
      </c>
      <c r="BA34" s="546">
        <f t="shared" si="25"/>
        <v>3300464.2680000002</v>
      </c>
      <c r="BB34" s="546">
        <f t="shared" si="26"/>
        <v>1018995.9669999999</v>
      </c>
      <c r="BC34" s="546">
        <f t="shared" si="27"/>
        <v>1018995.9669999999</v>
      </c>
      <c r="BD34" s="546">
        <f t="shared" si="28"/>
        <v>2281468.301</v>
      </c>
      <c r="BG34" s="544" t="s">
        <v>357</v>
      </c>
      <c r="BH34" s="545">
        <v>33197161</v>
      </c>
      <c r="BI34" s="545">
        <f t="shared" si="29"/>
        <v>33197.161</v>
      </c>
      <c r="BK34" s="544" t="s">
        <v>352</v>
      </c>
      <c r="BL34" s="545">
        <v>3298377072</v>
      </c>
      <c r="BM34" s="545">
        <v>1277229297</v>
      </c>
      <c r="BN34" s="545">
        <v>1277229297</v>
      </c>
      <c r="BO34" s="545">
        <v>2021147775</v>
      </c>
      <c r="BP34" s="545">
        <f t="shared" si="30"/>
        <v>3298377.0720000002</v>
      </c>
      <c r="BQ34" s="545">
        <f t="shared" si="31"/>
        <v>1277229.297</v>
      </c>
      <c r="BR34" s="545">
        <f t="shared" si="32"/>
        <v>1277229.297</v>
      </c>
      <c r="BS34" s="545">
        <f t="shared" si="33"/>
        <v>2021147.7749999999</v>
      </c>
      <c r="BV34" s="544" t="s">
        <v>538</v>
      </c>
      <c r="BW34" s="545">
        <v>265862661</v>
      </c>
      <c r="BX34" s="546">
        <f t="shared" si="34"/>
        <v>265862.66100000002</v>
      </c>
      <c r="BZ34" s="544" t="s">
        <v>352</v>
      </c>
      <c r="CA34" s="545">
        <v>3262585311</v>
      </c>
      <c r="CB34" s="545">
        <v>1538381821</v>
      </c>
      <c r="CC34" s="545">
        <v>1538381821</v>
      </c>
      <c r="CD34" s="545">
        <v>1724203490</v>
      </c>
      <c r="CE34" s="545">
        <f t="shared" si="35"/>
        <v>3262585.3110000002</v>
      </c>
      <c r="CF34" s="545">
        <f t="shared" si="36"/>
        <v>1538381.821</v>
      </c>
      <c r="CG34" s="545">
        <f t="shared" si="37"/>
        <v>1538381.821</v>
      </c>
      <c r="CH34" s="545">
        <f t="shared" si="38"/>
        <v>1724203.49</v>
      </c>
      <c r="CK34" s="547" t="s">
        <v>538</v>
      </c>
      <c r="CL34" s="546">
        <v>177494439</v>
      </c>
      <c r="CM34" s="546">
        <f t="shared" si="39"/>
        <v>177494.43900000001</v>
      </c>
      <c r="CP34" s="547" t="s">
        <v>352</v>
      </c>
      <c r="CQ34" s="546">
        <v>3153804145</v>
      </c>
      <c r="CR34" s="546">
        <v>1800157651</v>
      </c>
      <c r="CS34" s="546">
        <v>1800157651</v>
      </c>
      <c r="CT34" s="546">
        <v>1353646494</v>
      </c>
      <c r="CU34" s="546">
        <f t="shared" si="2"/>
        <v>3153804.145</v>
      </c>
      <c r="CV34" s="546">
        <f t="shared" si="3"/>
        <v>1800157.6510000001</v>
      </c>
      <c r="CW34" s="546">
        <f t="shared" si="4"/>
        <v>1800157.6510000001</v>
      </c>
      <c r="CX34" s="546">
        <f t="shared" si="5"/>
        <v>1353646.4939999999</v>
      </c>
      <c r="CZ34" s="547" t="s">
        <v>538</v>
      </c>
      <c r="DA34" s="546">
        <v>177118811</v>
      </c>
      <c r="DB34" s="546">
        <f t="shared" si="40"/>
        <v>177118.81099999999</v>
      </c>
      <c r="DE34" s="544" t="s">
        <v>352</v>
      </c>
      <c r="DF34" s="545">
        <v>3153804145</v>
      </c>
      <c r="DG34" s="545">
        <v>2060894315</v>
      </c>
      <c r="DH34" s="545">
        <v>2060894315</v>
      </c>
      <c r="DI34" s="545">
        <v>1092909830</v>
      </c>
      <c r="DJ34" s="546">
        <f t="shared" si="41"/>
        <v>3153804.145</v>
      </c>
      <c r="DK34" s="546">
        <f t="shared" si="42"/>
        <v>2060894.3149999999</v>
      </c>
      <c r="DL34" s="546">
        <f t="shared" si="43"/>
        <v>2060894.3149999999</v>
      </c>
      <c r="DM34" s="546">
        <f t="shared" si="44"/>
        <v>1092909.83</v>
      </c>
      <c r="DP34" s="544" t="s">
        <v>538</v>
      </c>
      <c r="DQ34" s="545">
        <v>272583567</v>
      </c>
      <c r="DR34" s="546">
        <f t="shared" si="45"/>
        <v>272583.56699999998</v>
      </c>
      <c r="DT34" s="544" t="s">
        <v>352</v>
      </c>
      <c r="DU34" s="545">
        <v>3115117311</v>
      </c>
      <c r="DV34" s="545">
        <v>2321944283</v>
      </c>
      <c r="DW34" s="545">
        <v>2321944283</v>
      </c>
      <c r="DX34" s="545">
        <v>793173028</v>
      </c>
      <c r="DY34" s="546">
        <f t="shared" si="46"/>
        <v>3115117.3110000002</v>
      </c>
      <c r="DZ34" s="546">
        <f t="shared" si="47"/>
        <v>2321944.2829999998</v>
      </c>
      <c r="EA34" s="546">
        <f t="shared" si="48"/>
        <v>2321944.2829999998</v>
      </c>
      <c r="EB34" s="546">
        <f t="shared" si="49"/>
        <v>793173.02800000005</v>
      </c>
      <c r="EE34" s="547" t="s">
        <v>543</v>
      </c>
      <c r="EF34" s="546">
        <v>4176288</v>
      </c>
      <c r="EG34" s="548">
        <f t="shared" si="50"/>
        <v>4176.2879999999996</v>
      </c>
      <c r="EI34" s="547" t="s">
        <v>351</v>
      </c>
      <c r="EJ34" s="546">
        <v>14423191304</v>
      </c>
      <c r="EK34" s="546">
        <v>12286596847</v>
      </c>
      <c r="EL34" s="546">
        <v>12286596847</v>
      </c>
      <c r="EM34" s="548">
        <f t="shared" si="51"/>
        <v>14423191.304</v>
      </c>
      <c r="EN34" s="548">
        <f t="shared" si="52"/>
        <v>12286596.846999999</v>
      </c>
      <c r="EO34" s="548">
        <f t="shared" si="53"/>
        <v>12286596.846999999</v>
      </c>
      <c r="ER34" s="544" t="s">
        <v>357</v>
      </c>
      <c r="ES34" s="545">
        <v>37373436</v>
      </c>
      <c r="ET34" s="546">
        <f t="shared" si="54"/>
        <v>37373.436000000002</v>
      </c>
      <c r="EW34" s="544" t="s">
        <v>351</v>
      </c>
      <c r="EX34" s="545">
        <v>0</v>
      </c>
      <c r="EY34" s="545">
        <v>14357354304</v>
      </c>
      <c r="EZ34" s="545">
        <v>13376849946</v>
      </c>
      <c r="FA34" s="545">
        <v>13376849946</v>
      </c>
      <c r="FB34" s="545">
        <v>980504358</v>
      </c>
      <c r="FC34" s="546">
        <f t="shared" si="55"/>
        <v>0</v>
      </c>
      <c r="FD34" s="546">
        <f t="shared" si="56"/>
        <v>14357354.304</v>
      </c>
      <c r="FE34" s="546">
        <f t="shared" si="57"/>
        <v>13376849.946</v>
      </c>
      <c r="FF34" s="546">
        <f t="shared" si="58"/>
        <v>13376849.946</v>
      </c>
      <c r="FG34" s="546">
        <f t="shared" si="59"/>
        <v>980504.35800000001</v>
      </c>
      <c r="FJ34" s="547" t="s">
        <v>354</v>
      </c>
      <c r="FK34" s="546">
        <v>24021701</v>
      </c>
      <c r="FL34" s="548">
        <f t="shared" si="60"/>
        <v>24021.701000000001</v>
      </c>
      <c r="FN34" s="549" t="s">
        <v>352</v>
      </c>
      <c r="FO34" s="550">
        <v>3479080494</v>
      </c>
      <c r="FP34" s="550">
        <v>3111828471</v>
      </c>
      <c r="FQ34" s="550">
        <v>3111828471</v>
      </c>
      <c r="FR34" s="550">
        <f t="shared" si="61"/>
        <v>3479080.4939999999</v>
      </c>
      <c r="FS34" s="550">
        <f t="shared" si="62"/>
        <v>3111828.4709999999</v>
      </c>
      <c r="FT34" s="550">
        <f t="shared" si="63"/>
        <v>3111828.4709999999</v>
      </c>
    </row>
    <row r="35" spans="1:176" ht="15" customHeight="1" x14ac:dyDescent="0.25">
      <c r="A35" s="890" t="s">
        <v>890</v>
      </c>
      <c r="B35" s="544" t="s">
        <v>535</v>
      </c>
      <c r="C35" s="545">
        <v>0</v>
      </c>
      <c r="D35" s="545">
        <v>131240000</v>
      </c>
      <c r="E35" s="545">
        <v>12136782</v>
      </c>
      <c r="F35" s="545">
        <v>119103218</v>
      </c>
      <c r="G35" s="545">
        <v>12136782</v>
      </c>
      <c r="H35" s="546">
        <f t="shared" si="10"/>
        <v>136752.08000000002</v>
      </c>
      <c r="I35" s="546">
        <f t="shared" si="11"/>
        <v>12646.526844</v>
      </c>
      <c r="J35" s="546">
        <f t="shared" si="12"/>
        <v>124105.55315599999</v>
      </c>
      <c r="K35" s="546">
        <f t="shared" si="13"/>
        <v>12646.526844</v>
      </c>
      <c r="O35" s="544" t="s">
        <v>547</v>
      </c>
      <c r="P35" s="545">
        <v>18449201</v>
      </c>
      <c r="Q35" s="546">
        <f t="shared" si="14"/>
        <v>19224.067442000003</v>
      </c>
      <c r="S35" s="544" t="s">
        <v>535</v>
      </c>
      <c r="T35" s="545">
        <v>131240000</v>
      </c>
      <c r="U35" s="545">
        <v>24341444</v>
      </c>
      <c r="V35" s="545">
        <v>24341444</v>
      </c>
      <c r="W35" s="545">
        <v>106898556</v>
      </c>
      <c r="X35" s="546">
        <f t="shared" si="15"/>
        <v>136752.08000000002</v>
      </c>
      <c r="Y35" s="546">
        <f t="shared" si="16"/>
        <v>25363.784648000001</v>
      </c>
      <c r="Z35" s="546">
        <f t="shared" si="17"/>
        <v>25363.784648000001</v>
      </c>
      <c r="AA35" s="546">
        <f t="shared" si="18"/>
        <v>111388.295352</v>
      </c>
      <c r="AC35" s="544" t="s">
        <v>540</v>
      </c>
      <c r="AD35" s="545">
        <v>383909927</v>
      </c>
      <c r="AE35" s="546">
        <f t="shared" si="19"/>
        <v>383909.92700000003</v>
      </c>
      <c r="AG35" s="544" t="s">
        <v>535</v>
      </c>
      <c r="AH35" s="545">
        <v>131240000</v>
      </c>
      <c r="AI35" s="545">
        <v>36513023</v>
      </c>
      <c r="AJ35" s="545">
        <v>36513023</v>
      </c>
      <c r="AK35" s="545">
        <v>94726977</v>
      </c>
      <c r="AL35" s="545">
        <f t="shared" si="20"/>
        <v>131240</v>
      </c>
      <c r="AM35" s="545">
        <f t="shared" si="21"/>
        <v>36513.023000000001</v>
      </c>
      <c r="AN35" s="545">
        <f t="shared" si="22"/>
        <v>36513.023000000001</v>
      </c>
      <c r="AO35" s="545">
        <f t="shared" si="23"/>
        <v>94726.976999999999</v>
      </c>
      <c r="AR35" s="544" t="s">
        <v>545</v>
      </c>
      <c r="AS35" s="545">
        <v>1060306</v>
      </c>
      <c r="AT35" s="545">
        <f t="shared" si="24"/>
        <v>1060.306</v>
      </c>
      <c r="AV35" s="544" t="s">
        <v>535</v>
      </c>
      <c r="AW35" s="545">
        <v>131240000</v>
      </c>
      <c r="AX35" s="545">
        <v>48462170</v>
      </c>
      <c r="AY35" s="545">
        <v>48462170</v>
      </c>
      <c r="AZ35" s="545">
        <v>82777830</v>
      </c>
      <c r="BA35" s="546">
        <f t="shared" si="25"/>
        <v>131240</v>
      </c>
      <c r="BB35" s="546">
        <f t="shared" si="26"/>
        <v>48462.17</v>
      </c>
      <c r="BC35" s="546">
        <f t="shared" si="27"/>
        <v>48462.17</v>
      </c>
      <c r="BD35" s="546">
        <f t="shared" si="28"/>
        <v>82777.83</v>
      </c>
      <c r="BG35" s="544" t="s">
        <v>547</v>
      </c>
      <c r="BH35" s="545">
        <v>18863642</v>
      </c>
      <c r="BI35" s="545">
        <f t="shared" si="29"/>
        <v>18863.642</v>
      </c>
      <c r="BK35" s="544" t="s">
        <v>535</v>
      </c>
      <c r="BL35" s="545">
        <v>131240000</v>
      </c>
      <c r="BM35" s="545">
        <v>60190271</v>
      </c>
      <c r="BN35" s="545">
        <v>60190271</v>
      </c>
      <c r="BO35" s="545">
        <v>71049729</v>
      </c>
      <c r="BP35" s="545">
        <f t="shared" si="30"/>
        <v>131240</v>
      </c>
      <c r="BQ35" s="545">
        <f t="shared" si="31"/>
        <v>60190.271000000001</v>
      </c>
      <c r="BR35" s="545">
        <f t="shared" si="32"/>
        <v>60190.271000000001</v>
      </c>
      <c r="BS35" s="545">
        <f t="shared" si="33"/>
        <v>71049.729000000007</v>
      </c>
      <c r="BV35" s="544" t="s">
        <v>539</v>
      </c>
      <c r="BW35" s="545">
        <v>418920608</v>
      </c>
      <c r="BX35" s="546">
        <f t="shared" si="34"/>
        <v>418920.60800000001</v>
      </c>
      <c r="BZ35" s="544" t="s">
        <v>535</v>
      </c>
      <c r="CA35" s="545">
        <v>131240000</v>
      </c>
      <c r="CB35" s="545">
        <v>72045454</v>
      </c>
      <c r="CC35" s="545">
        <v>72045454</v>
      </c>
      <c r="CD35" s="545">
        <v>59194546</v>
      </c>
      <c r="CE35" s="545">
        <f t="shared" si="35"/>
        <v>131240</v>
      </c>
      <c r="CF35" s="545">
        <f t="shared" si="36"/>
        <v>72045.453999999998</v>
      </c>
      <c r="CG35" s="545">
        <f t="shared" si="37"/>
        <v>72045.453999999998</v>
      </c>
      <c r="CH35" s="545">
        <f t="shared" si="38"/>
        <v>59194.546000000002</v>
      </c>
      <c r="CK35" s="547" t="s">
        <v>539</v>
      </c>
      <c r="CL35" s="546">
        <v>419834645</v>
      </c>
      <c r="CM35" s="546">
        <f t="shared" si="39"/>
        <v>419834.64500000002</v>
      </c>
      <c r="CP35" s="547" t="s">
        <v>535</v>
      </c>
      <c r="CQ35" s="546">
        <v>131240000</v>
      </c>
      <c r="CR35" s="546">
        <v>83868748</v>
      </c>
      <c r="CS35" s="546">
        <v>83868748</v>
      </c>
      <c r="CT35" s="546">
        <v>47371252</v>
      </c>
      <c r="CU35" s="546">
        <f t="shared" ref="CU35:CU66" si="64">+CQ35/$CV$1*$CW$1</f>
        <v>131240</v>
      </c>
      <c r="CV35" s="546">
        <f t="shared" ref="CV35:CV66" si="65">+CR35/$CV$1*$CW$1</f>
        <v>83868.748000000007</v>
      </c>
      <c r="CW35" s="546">
        <f t="shared" ref="CW35:CW66" si="66">+CS35/$CV$1*$CW$1</f>
        <v>83868.748000000007</v>
      </c>
      <c r="CX35" s="546">
        <f t="shared" ref="CX35:CX66" si="67">+CT35/$CV$1*$CW$1</f>
        <v>47371.252</v>
      </c>
      <c r="CZ35" s="547" t="s">
        <v>539</v>
      </c>
      <c r="DA35" s="546">
        <v>419355178</v>
      </c>
      <c r="DB35" s="546">
        <f t="shared" si="40"/>
        <v>419355.17800000001</v>
      </c>
      <c r="DE35" s="544" t="s">
        <v>535</v>
      </c>
      <c r="DF35" s="545">
        <v>131240000</v>
      </c>
      <c r="DG35" s="545">
        <v>95777693</v>
      </c>
      <c r="DH35" s="545">
        <v>95777693</v>
      </c>
      <c r="DI35" s="545">
        <v>35462307</v>
      </c>
      <c r="DJ35" s="546">
        <f t="shared" si="41"/>
        <v>131240</v>
      </c>
      <c r="DK35" s="546">
        <f t="shared" si="42"/>
        <v>95777.692999999999</v>
      </c>
      <c r="DL35" s="546">
        <f t="shared" si="43"/>
        <v>95777.692999999999</v>
      </c>
      <c r="DM35" s="546">
        <f t="shared" si="44"/>
        <v>35462.307000000001</v>
      </c>
      <c r="DP35" s="544" t="s">
        <v>539</v>
      </c>
      <c r="DQ35" s="545">
        <v>417825993</v>
      </c>
      <c r="DR35" s="546">
        <f t="shared" si="45"/>
        <v>417825.99300000002</v>
      </c>
      <c r="DT35" s="544" t="s">
        <v>535</v>
      </c>
      <c r="DU35" s="545">
        <v>131240000</v>
      </c>
      <c r="DV35" s="545">
        <v>107842328</v>
      </c>
      <c r="DW35" s="545">
        <v>107842328</v>
      </c>
      <c r="DX35" s="545">
        <v>23397672</v>
      </c>
      <c r="DY35" s="546">
        <f t="shared" si="46"/>
        <v>131240</v>
      </c>
      <c r="DZ35" s="546">
        <f t="shared" si="47"/>
        <v>107842.32799999999</v>
      </c>
      <c r="EA35" s="546">
        <f t="shared" si="48"/>
        <v>107842.32799999999</v>
      </c>
      <c r="EB35" s="546">
        <f t="shared" si="49"/>
        <v>23397.671999999999</v>
      </c>
      <c r="EE35" s="547" t="s">
        <v>544</v>
      </c>
      <c r="EF35" s="546">
        <v>40097657</v>
      </c>
      <c r="EG35" s="548">
        <f t="shared" si="50"/>
        <v>40097.656999999999</v>
      </c>
      <c r="EI35" s="547" t="s">
        <v>352</v>
      </c>
      <c r="EJ35" s="546">
        <v>3112617311</v>
      </c>
      <c r="EK35" s="546">
        <v>2582981469</v>
      </c>
      <c r="EL35" s="546">
        <v>2582981469</v>
      </c>
      <c r="EM35" s="548">
        <f t="shared" si="51"/>
        <v>3112617.3110000002</v>
      </c>
      <c r="EN35" s="548">
        <f t="shared" si="52"/>
        <v>2582981.469</v>
      </c>
      <c r="EO35" s="548">
        <f t="shared" si="53"/>
        <v>2582981.469</v>
      </c>
      <c r="ER35" s="544" t="s">
        <v>547</v>
      </c>
      <c r="ES35" s="545">
        <v>20756830</v>
      </c>
      <c r="ET35" s="546">
        <f t="shared" si="54"/>
        <v>20756.830000000002</v>
      </c>
      <c r="EW35" s="544" t="s">
        <v>352</v>
      </c>
      <c r="EX35" s="545">
        <v>0</v>
      </c>
      <c r="EY35" s="545">
        <v>3033380311</v>
      </c>
      <c r="EZ35" s="545">
        <v>2844152983</v>
      </c>
      <c r="FA35" s="545">
        <v>2844152983</v>
      </c>
      <c r="FB35" s="545">
        <v>189227328</v>
      </c>
      <c r="FC35" s="546">
        <f t="shared" si="55"/>
        <v>0</v>
      </c>
      <c r="FD35" s="546">
        <f t="shared" si="56"/>
        <v>3033380.3110000002</v>
      </c>
      <c r="FE35" s="546">
        <f t="shared" si="57"/>
        <v>2844152.983</v>
      </c>
      <c r="FF35" s="546">
        <f t="shared" si="58"/>
        <v>2844152.983</v>
      </c>
      <c r="FG35" s="546">
        <f t="shared" si="59"/>
        <v>189227.32800000001</v>
      </c>
      <c r="FJ35" s="547" t="s">
        <v>537</v>
      </c>
      <c r="FK35" s="546">
        <v>12740439</v>
      </c>
      <c r="FL35" s="548">
        <f t="shared" si="60"/>
        <v>12740.439</v>
      </c>
      <c r="FN35" s="549" t="s">
        <v>535</v>
      </c>
      <c r="FO35" s="550">
        <v>144871696</v>
      </c>
      <c r="FP35" s="550">
        <v>144870159</v>
      </c>
      <c r="FQ35" s="550">
        <v>144870159</v>
      </c>
      <c r="FR35" s="550">
        <f t="shared" si="61"/>
        <v>144871.696</v>
      </c>
      <c r="FS35" s="550">
        <f t="shared" si="62"/>
        <v>144870.15900000001</v>
      </c>
      <c r="FT35" s="550">
        <f t="shared" si="63"/>
        <v>144870.15900000001</v>
      </c>
    </row>
    <row r="36" spans="1:176" ht="15" customHeight="1" x14ac:dyDescent="0.25">
      <c r="A36" s="890" t="s">
        <v>890</v>
      </c>
      <c r="B36" s="544" t="s">
        <v>353</v>
      </c>
      <c r="C36" s="545">
        <v>0</v>
      </c>
      <c r="D36" s="545">
        <v>2083110000</v>
      </c>
      <c r="E36" s="545">
        <v>179189350</v>
      </c>
      <c r="F36" s="545">
        <v>1903920650</v>
      </c>
      <c r="G36" s="545">
        <v>179189350</v>
      </c>
      <c r="H36" s="546">
        <f t="shared" si="10"/>
        <v>2170600.62</v>
      </c>
      <c r="I36" s="546">
        <f t="shared" si="11"/>
        <v>186715.3027</v>
      </c>
      <c r="J36" s="546">
        <f t="shared" si="12"/>
        <v>1983885.3173</v>
      </c>
      <c r="K36" s="546">
        <f t="shared" si="13"/>
        <v>186715.3027</v>
      </c>
      <c r="O36" s="544" t="s">
        <v>548</v>
      </c>
      <c r="P36" s="545">
        <v>4907156</v>
      </c>
      <c r="Q36" s="546">
        <f t="shared" si="14"/>
        <v>5113.2565519999998</v>
      </c>
      <c r="S36" s="544" t="s">
        <v>353</v>
      </c>
      <c r="T36" s="545">
        <v>2083110000</v>
      </c>
      <c r="U36" s="545">
        <v>359028160</v>
      </c>
      <c r="V36" s="545">
        <v>359028160</v>
      </c>
      <c r="W36" s="545">
        <v>1724081840</v>
      </c>
      <c r="X36" s="546">
        <f t="shared" si="15"/>
        <v>2170600.62</v>
      </c>
      <c r="Y36" s="546">
        <f t="shared" si="16"/>
        <v>374107.34272000002</v>
      </c>
      <c r="Z36" s="546">
        <f t="shared" si="17"/>
        <v>374107.34272000002</v>
      </c>
      <c r="AA36" s="546">
        <f t="shared" si="18"/>
        <v>1796493.27728</v>
      </c>
      <c r="AC36" s="544" t="s">
        <v>541</v>
      </c>
      <c r="AD36" s="545">
        <v>13107207</v>
      </c>
      <c r="AE36" s="546">
        <f t="shared" si="19"/>
        <v>13107.207</v>
      </c>
      <c r="AG36" s="544" t="s">
        <v>353</v>
      </c>
      <c r="AH36" s="545">
        <v>2083110000</v>
      </c>
      <c r="AI36" s="545">
        <v>539690985</v>
      </c>
      <c r="AJ36" s="545">
        <v>539690985</v>
      </c>
      <c r="AK36" s="545">
        <v>1543419015</v>
      </c>
      <c r="AL36" s="545">
        <f t="shared" si="20"/>
        <v>2083110</v>
      </c>
      <c r="AM36" s="545">
        <f t="shared" si="21"/>
        <v>539690.98499999999</v>
      </c>
      <c r="AN36" s="545">
        <f t="shared" si="22"/>
        <v>539690.98499999999</v>
      </c>
      <c r="AO36" s="545">
        <f t="shared" si="23"/>
        <v>1543419.0149999999</v>
      </c>
      <c r="AR36" s="544" t="s">
        <v>546</v>
      </c>
      <c r="AS36" s="545">
        <v>542833</v>
      </c>
      <c r="AT36" s="545">
        <f t="shared" si="24"/>
        <v>542.83299999999997</v>
      </c>
      <c r="AV36" s="544" t="s">
        <v>353</v>
      </c>
      <c r="AW36" s="545">
        <v>2083110000</v>
      </c>
      <c r="AX36" s="545">
        <v>724214493</v>
      </c>
      <c r="AY36" s="545">
        <v>724214493</v>
      </c>
      <c r="AZ36" s="545">
        <v>1358895507</v>
      </c>
      <c r="BA36" s="546">
        <f t="shared" si="25"/>
        <v>2083110</v>
      </c>
      <c r="BB36" s="546">
        <f t="shared" si="26"/>
        <v>724214.49300000002</v>
      </c>
      <c r="BC36" s="546">
        <f t="shared" si="27"/>
        <v>724214.49300000002</v>
      </c>
      <c r="BD36" s="546">
        <f t="shared" si="28"/>
        <v>1358895.507</v>
      </c>
      <c r="BG36" s="544" t="s">
        <v>548</v>
      </c>
      <c r="BH36" s="545">
        <v>3540823</v>
      </c>
      <c r="BI36" s="545">
        <f t="shared" si="29"/>
        <v>3540.8229999999999</v>
      </c>
      <c r="BK36" s="544" t="s">
        <v>353</v>
      </c>
      <c r="BL36" s="545">
        <v>2083110000</v>
      </c>
      <c r="BM36" s="545">
        <v>908231431</v>
      </c>
      <c r="BN36" s="545">
        <v>908231431</v>
      </c>
      <c r="BO36" s="545">
        <v>1174878569</v>
      </c>
      <c r="BP36" s="545">
        <f t="shared" si="30"/>
        <v>2083110</v>
      </c>
      <c r="BQ36" s="545">
        <f t="shared" si="31"/>
        <v>908231.43099999998</v>
      </c>
      <c r="BR36" s="545">
        <f t="shared" si="32"/>
        <v>908231.43099999998</v>
      </c>
      <c r="BS36" s="545">
        <f t="shared" si="33"/>
        <v>1174878.5689999999</v>
      </c>
      <c r="BV36" s="544" t="s">
        <v>540</v>
      </c>
      <c r="BW36" s="545">
        <v>391388188</v>
      </c>
      <c r="BX36" s="546">
        <f t="shared" si="34"/>
        <v>391388.18800000002</v>
      </c>
      <c r="BZ36" s="544" t="s">
        <v>353</v>
      </c>
      <c r="CA36" s="545">
        <v>2083110000</v>
      </c>
      <c r="CB36" s="545">
        <v>1094139818</v>
      </c>
      <c r="CC36" s="545">
        <v>1094139818</v>
      </c>
      <c r="CD36" s="545">
        <v>988970182</v>
      </c>
      <c r="CE36" s="545">
        <f t="shared" si="35"/>
        <v>2083110</v>
      </c>
      <c r="CF36" s="545">
        <f t="shared" si="36"/>
        <v>1094139.818</v>
      </c>
      <c r="CG36" s="545">
        <f t="shared" si="37"/>
        <v>1094139.818</v>
      </c>
      <c r="CH36" s="545">
        <f t="shared" si="38"/>
        <v>988970.18200000003</v>
      </c>
      <c r="CK36" s="547" t="s">
        <v>540</v>
      </c>
      <c r="CL36" s="546">
        <v>421935</v>
      </c>
      <c r="CM36" s="546">
        <f t="shared" si="39"/>
        <v>421.935</v>
      </c>
      <c r="CP36" s="547" t="s">
        <v>353</v>
      </c>
      <c r="CQ36" s="546">
        <v>2083110000</v>
      </c>
      <c r="CR36" s="546">
        <v>1280388137</v>
      </c>
      <c r="CS36" s="546">
        <v>1280388137</v>
      </c>
      <c r="CT36" s="546">
        <v>802721863</v>
      </c>
      <c r="CU36" s="546">
        <f t="shared" si="64"/>
        <v>2083110</v>
      </c>
      <c r="CV36" s="546">
        <f t="shared" si="65"/>
        <v>1280388.1370000001</v>
      </c>
      <c r="CW36" s="546">
        <f t="shared" si="66"/>
        <v>1280388.1370000001</v>
      </c>
      <c r="CX36" s="546">
        <f t="shared" si="67"/>
        <v>802721.86300000001</v>
      </c>
      <c r="CZ36" s="547" t="s">
        <v>540</v>
      </c>
      <c r="DA36" s="546">
        <v>-6765</v>
      </c>
      <c r="DB36" s="546">
        <f t="shared" si="40"/>
        <v>-6.7649999999999997</v>
      </c>
      <c r="DE36" s="544" t="s">
        <v>353</v>
      </c>
      <c r="DF36" s="545">
        <v>2083110000</v>
      </c>
      <c r="DG36" s="545">
        <v>1466246112</v>
      </c>
      <c r="DH36" s="545">
        <v>1466246112</v>
      </c>
      <c r="DI36" s="545">
        <v>616863888</v>
      </c>
      <c r="DJ36" s="546">
        <f t="shared" si="41"/>
        <v>2083110</v>
      </c>
      <c r="DK36" s="546">
        <f t="shared" si="42"/>
        <v>1466246.112</v>
      </c>
      <c r="DL36" s="546">
        <f t="shared" si="43"/>
        <v>1466246.112</v>
      </c>
      <c r="DM36" s="546">
        <f t="shared" si="44"/>
        <v>616863.88800000004</v>
      </c>
      <c r="DP36" s="544" t="s">
        <v>540</v>
      </c>
      <c r="DQ36" s="545">
        <v>395310938</v>
      </c>
      <c r="DR36" s="546">
        <f t="shared" si="45"/>
        <v>395310.93800000002</v>
      </c>
      <c r="DT36" s="544" t="s">
        <v>353</v>
      </c>
      <c r="DU36" s="545">
        <v>2083110000</v>
      </c>
      <c r="DV36" s="545">
        <v>1652869098</v>
      </c>
      <c r="DW36" s="545">
        <v>1652869098</v>
      </c>
      <c r="DX36" s="545">
        <v>430240902</v>
      </c>
      <c r="DY36" s="546">
        <f t="shared" si="46"/>
        <v>2083110</v>
      </c>
      <c r="DZ36" s="546">
        <f t="shared" si="47"/>
        <v>1652869.098</v>
      </c>
      <c r="EA36" s="546">
        <f t="shared" si="48"/>
        <v>1652869.098</v>
      </c>
      <c r="EB36" s="546">
        <f t="shared" si="49"/>
        <v>430240.902</v>
      </c>
      <c r="EE36" s="547" t="s">
        <v>545</v>
      </c>
      <c r="EF36" s="546">
        <v>109225</v>
      </c>
      <c r="EG36" s="548">
        <f t="shared" si="50"/>
        <v>109.22499999999999</v>
      </c>
      <c r="EI36" s="547" t="s">
        <v>535</v>
      </c>
      <c r="EJ36" s="546">
        <v>131240000</v>
      </c>
      <c r="EK36" s="546">
        <v>119944492</v>
      </c>
      <c r="EL36" s="546">
        <v>119944492</v>
      </c>
      <c r="EM36" s="548">
        <f t="shared" si="51"/>
        <v>131240</v>
      </c>
      <c r="EN36" s="548">
        <f t="shared" si="52"/>
        <v>119944.492</v>
      </c>
      <c r="EO36" s="548">
        <f t="shared" si="53"/>
        <v>119944.492</v>
      </c>
      <c r="ER36" s="544" t="s">
        <v>548</v>
      </c>
      <c r="ES36" s="545">
        <v>6580907</v>
      </c>
      <c r="ET36" s="546">
        <f t="shared" si="54"/>
        <v>6580.9070000000002</v>
      </c>
      <c r="EW36" s="544" t="s">
        <v>535</v>
      </c>
      <c r="EX36" s="545">
        <v>0</v>
      </c>
      <c r="EY36" s="545">
        <v>144240000</v>
      </c>
      <c r="EZ36" s="545">
        <v>132189099</v>
      </c>
      <c r="FA36" s="545">
        <v>132189099</v>
      </c>
      <c r="FB36" s="545">
        <v>12050901</v>
      </c>
      <c r="FC36" s="546">
        <f t="shared" si="55"/>
        <v>0</v>
      </c>
      <c r="FD36" s="546">
        <f t="shared" si="56"/>
        <v>144240</v>
      </c>
      <c r="FE36" s="546">
        <f t="shared" si="57"/>
        <v>132189.09899999999</v>
      </c>
      <c r="FF36" s="546">
        <f t="shared" si="58"/>
        <v>132189.09899999999</v>
      </c>
      <c r="FG36" s="546">
        <f t="shared" si="59"/>
        <v>12050.901</v>
      </c>
      <c r="FJ36" s="547" t="s">
        <v>538</v>
      </c>
      <c r="FK36" s="546">
        <v>280618056</v>
      </c>
      <c r="FL36" s="548">
        <f t="shared" si="60"/>
        <v>280618.05599999998</v>
      </c>
      <c r="FN36" s="549" t="s">
        <v>353</v>
      </c>
      <c r="FO36" s="550">
        <v>2214371923</v>
      </c>
      <c r="FP36" s="550">
        <v>2213984475</v>
      </c>
      <c r="FQ36" s="550">
        <v>2213984475</v>
      </c>
      <c r="FR36" s="550">
        <f t="shared" si="61"/>
        <v>2214371.923</v>
      </c>
      <c r="FS36" s="550">
        <f t="shared" si="62"/>
        <v>2213984.4750000001</v>
      </c>
      <c r="FT36" s="550">
        <f t="shared" si="63"/>
        <v>2213984.4750000001</v>
      </c>
    </row>
    <row r="37" spans="1:176" ht="15" customHeight="1" x14ac:dyDescent="0.25">
      <c r="A37" s="890" t="s">
        <v>890</v>
      </c>
      <c r="B37" s="544" t="s">
        <v>354</v>
      </c>
      <c r="C37" s="545">
        <v>0</v>
      </c>
      <c r="D37" s="545">
        <v>277100000</v>
      </c>
      <c r="E37" s="545">
        <v>23731030</v>
      </c>
      <c r="F37" s="545">
        <v>253368970</v>
      </c>
      <c r="G37" s="545">
        <v>23731030</v>
      </c>
      <c r="H37" s="546">
        <f t="shared" si="10"/>
        <v>288738.2</v>
      </c>
      <c r="I37" s="546">
        <f t="shared" si="11"/>
        <v>24727.733260000001</v>
      </c>
      <c r="J37" s="546">
        <f t="shared" si="12"/>
        <v>264010.46674</v>
      </c>
      <c r="K37" s="546">
        <f t="shared" si="13"/>
        <v>24727.733260000001</v>
      </c>
      <c r="O37" s="544" t="s">
        <v>585</v>
      </c>
      <c r="P37" s="545">
        <v>7024453</v>
      </c>
      <c r="Q37" s="546">
        <f t="shared" si="14"/>
        <v>7319.4800260000011</v>
      </c>
      <c r="S37" s="544" t="s">
        <v>354</v>
      </c>
      <c r="T37" s="545">
        <v>277100000</v>
      </c>
      <c r="U37" s="545">
        <v>47462060</v>
      </c>
      <c r="V37" s="545">
        <v>47462060</v>
      </c>
      <c r="W37" s="545">
        <v>229637940</v>
      </c>
      <c r="X37" s="546">
        <f t="shared" si="15"/>
        <v>288738.2</v>
      </c>
      <c r="Y37" s="546">
        <f t="shared" si="16"/>
        <v>49455.466520000002</v>
      </c>
      <c r="Z37" s="546">
        <f t="shared" si="17"/>
        <v>49455.466520000002</v>
      </c>
      <c r="AA37" s="546">
        <f t="shared" si="18"/>
        <v>239282.73348000002</v>
      </c>
      <c r="AC37" s="544" t="s">
        <v>542</v>
      </c>
      <c r="AD37" s="545">
        <v>347866</v>
      </c>
      <c r="AE37" s="546">
        <f t="shared" si="19"/>
        <v>347.86599999999999</v>
      </c>
      <c r="AG37" s="544" t="s">
        <v>354</v>
      </c>
      <c r="AH37" s="545">
        <v>277100000</v>
      </c>
      <c r="AI37" s="545">
        <v>71290267</v>
      </c>
      <c r="AJ37" s="545">
        <v>71290267</v>
      </c>
      <c r="AK37" s="545">
        <v>205809733</v>
      </c>
      <c r="AL37" s="545">
        <f t="shared" si="20"/>
        <v>277100</v>
      </c>
      <c r="AM37" s="545">
        <f t="shared" si="21"/>
        <v>71290.267000000007</v>
      </c>
      <c r="AN37" s="545">
        <f t="shared" si="22"/>
        <v>71290.267000000007</v>
      </c>
      <c r="AO37" s="545">
        <f t="shared" si="23"/>
        <v>205809.73300000001</v>
      </c>
      <c r="AR37" s="544" t="s">
        <v>356</v>
      </c>
      <c r="AS37" s="545">
        <v>517473</v>
      </c>
      <c r="AT37" s="545">
        <f t="shared" si="24"/>
        <v>517.47299999999996</v>
      </c>
      <c r="AV37" s="544" t="s">
        <v>354</v>
      </c>
      <c r="AW37" s="545">
        <v>277100000</v>
      </c>
      <c r="AX37" s="545">
        <v>95769820</v>
      </c>
      <c r="AY37" s="545">
        <v>95769820</v>
      </c>
      <c r="AZ37" s="545">
        <v>181330180</v>
      </c>
      <c r="BA37" s="546">
        <f t="shared" si="25"/>
        <v>277100</v>
      </c>
      <c r="BB37" s="546">
        <f t="shared" si="26"/>
        <v>95769.82</v>
      </c>
      <c r="BC37" s="546">
        <f t="shared" si="27"/>
        <v>95769.82</v>
      </c>
      <c r="BD37" s="546">
        <f t="shared" si="28"/>
        <v>181330.18</v>
      </c>
      <c r="BG37" s="544" t="s">
        <v>585</v>
      </c>
      <c r="BH37" s="545">
        <v>10792696</v>
      </c>
      <c r="BI37" s="545">
        <f t="shared" si="29"/>
        <v>10792.696</v>
      </c>
      <c r="BK37" s="544" t="s">
        <v>354</v>
      </c>
      <c r="BL37" s="545">
        <v>277100000</v>
      </c>
      <c r="BM37" s="545">
        <v>119931777</v>
      </c>
      <c r="BN37" s="545">
        <v>119931777</v>
      </c>
      <c r="BO37" s="545">
        <v>157168223</v>
      </c>
      <c r="BP37" s="545">
        <f t="shared" si="30"/>
        <v>277100</v>
      </c>
      <c r="BQ37" s="545">
        <f t="shared" si="31"/>
        <v>119931.777</v>
      </c>
      <c r="BR37" s="545">
        <f t="shared" si="32"/>
        <v>119931.777</v>
      </c>
      <c r="BS37" s="545">
        <f t="shared" si="33"/>
        <v>157168.223</v>
      </c>
      <c r="BV37" s="544" t="s">
        <v>541</v>
      </c>
      <c r="BW37" s="545">
        <v>13174100</v>
      </c>
      <c r="BX37" s="546">
        <f t="shared" si="34"/>
        <v>13174.1</v>
      </c>
      <c r="BZ37" s="544" t="s">
        <v>354</v>
      </c>
      <c r="CA37" s="545">
        <v>277100000</v>
      </c>
      <c r="CB37" s="545">
        <v>144463120</v>
      </c>
      <c r="CC37" s="545">
        <v>144463120</v>
      </c>
      <c r="CD37" s="545">
        <v>132636880</v>
      </c>
      <c r="CE37" s="545">
        <f t="shared" si="35"/>
        <v>277100</v>
      </c>
      <c r="CF37" s="545">
        <f t="shared" si="36"/>
        <v>144463.12</v>
      </c>
      <c r="CG37" s="545">
        <f t="shared" si="37"/>
        <v>144463.12</v>
      </c>
      <c r="CH37" s="545">
        <f t="shared" si="38"/>
        <v>132636.88</v>
      </c>
      <c r="CK37" s="547" t="s">
        <v>541</v>
      </c>
      <c r="CL37" s="546">
        <v>-1935</v>
      </c>
      <c r="CM37" s="546">
        <f t="shared" si="39"/>
        <v>-1.9350000000000001</v>
      </c>
      <c r="CP37" s="547" t="s">
        <v>354</v>
      </c>
      <c r="CQ37" s="546">
        <v>277100000</v>
      </c>
      <c r="CR37" s="546">
        <v>168652640</v>
      </c>
      <c r="CS37" s="546">
        <v>168652640</v>
      </c>
      <c r="CT37" s="546">
        <v>108447360</v>
      </c>
      <c r="CU37" s="546">
        <f t="shared" si="64"/>
        <v>277100</v>
      </c>
      <c r="CV37" s="546">
        <f t="shared" si="65"/>
        <v>168652.64</v>
      </c>
      <c r="CW37" s="546">
        <f t="shared" si="66"/>
        <v>168652.64</v>
      </c>
      <c r="CX37" s="546">
        <f t="shared" si="67"/>
        <v>108447.36</v>
      </c>
      <c r="CZ37" s="547" t="s">
        <v>541</v>
      </c>
      <c r="DA37" s="546">
        <v>-6764</v>
      </c>
      <c r="DB37" s="546">
        <f t="shared" si="40"/>
        <v>-6.7640000000000002</v>
      </c>
      <c r="DE37" s="544" t="s">
        <v>354</v>
      </c>
      <c r="DF37" s="545">
        <v>277100000</v>
      </c>
      <c r="DG37" s="545">
        <v>192837330</v>
      </c>
      <c r="DH37" s="545">
        <v>192837330</v>
      </c>
      <c r="DI37" s="545">
        <v>84262670</v>
      </c>
      <c r="DJ37" s="546">
        <f t="shared" si="41"/>
        <v>277100</v>
      </c>
      <c r="DK37" s="546">
        <f t="shared" si="42"/>
        <v>192837.33</v>
      </c>
      <c r="DL37" s="546">
        <f t="shared" si="43"/>
        <v>192837.33</v>
      </c>
      <c r="DM37" s="546">
        <f t="shared" si="44"/>
        <v>84262.67</v>
      </c>
      <c r="DP37" s="544" t="s">
        <v>541</v>
      </c>
      <c r="DQ37" s="545">
        <v>13032195</v>
      </c>
      <c r="DR37" s="546">
        <f t="shared" si="45"/>
        <v>13032.195</v>
      </c>
      <c r="DT37" s="544" t="s">
        <v>354</v>
      </c>
      <c r="DU37" s="545">
        <v>277100000</v>
      </c>
      <c r="DV37" s="545">
        <v>217047322</v>
      </c>
      <c r="DW37" s="545">
        <v>217047322</v>
      </c>
      <c r="DX37" s="545">
        <v>60052678</v>
      </c>
      <c r="DY37" s="546">
        <f t="shared" si="46"/>
        <v>277100</v>
      </c>
      <c r="DZ37" s="546">
        <f t="shared" si="47"/>
        <v>217047.32199999999</v>
      </c>
      <c r="EA37" s="546">
        <f t="shared" si="48"/>
        <v>217047.32199999999</v>
      </c>
      <c r="EB37" s="546">
        <f t="shared" si="49"/>
        <v>60052.678</v>
      </c>
      <c r="EE37" s="547" t="s">
        <v>546</v>
      </c>
      <c r="EF37" s="546">
        <v>87687</v>
      </c>
      <c r="EG37" s="548">
        <f t="shared" si="50"/>
        <v>87.686999999999998</v>
      </c>
      <c r="EI37" s="547" t="s">
        <v>353</v>
      </c>
      <c r="EJ37" s="546">
        <v>2083110000</v>
      </c>
      <c r="EK37" s="546">
        <v>1837848486</v>
      </c>
      <c r="EL37" s="546">
        <v>1837848486</v>
      </c>
      <c r="EM37" s="548">
        <f t="shared" si="51"/>
        <v>2083110</v>
      </c>
      <c r="EN37" s="548">
        <f t="shared" si="52"/>
        <v>1837848.486</v>
      </c>
      <c r="EO37" s="548">
        <f t="shared" si="53"/>
        <v>1837848.486</v>
      </c>
      <c r="ER37" s="544" t="s">
        <v>585</v>
      </c>
      <c r="ES37" s="545">
        <v>10035699</v>
      </c>
      <c r="ET37" s="546">
        <f t="shared" si="54"/>
        <v>10035.699000000001</v>
      </c>
      <c r="EW37" s="544" t="s">
        <v>353</v>
      </c>
      <c r="EX37" s="545">
        <v>0</v>
      </c>
      <c r="EY37" s="545">
        <v>2083110000</v>
      </c>
      <c r="EZ37" s="545">
        <v>2023372966</v>
      </c>
      <c r="FA37" s="545">
        <v>2023372966</v>
      </c>
      <c r="FB37" s="545">
        <v>59737034</v>
      </c>
      <c r="FC37" s="546">
        <f t="shared" si="55"/>
        <v>0</v>
      </c>
      <c r="FD37" s="546">
        <f t="shared" si="56"/>
        <v>2083110</v>
      </c>
      <c r="FE37" s="546">
        <f t="shared" si="57"/>
        <v>2023372.966</v>
      </c>
      <c r="FF37" s="546">
        <f t="shared" si="58"/>
        <v>2023372.966</v>
      </c>
      <c r="FG37" s="546">
        <f t="shared" si="59"/>
        <v>59737.034</v>
      </c>
      <c r="FJ37" s="547" t="s">
        <v>539</v>
      </c>
      <c r="FK37" s="546">
        <v>429506302</v>
      </c>
      <c r="FL37" s="548">
        <f t="shared" si="60"/>
        <v>429506.30200000003</v>
      </c>
      <c r="FN37" s="549" t="s">
        <v>354</v>
      </c>
      <c r="FO37" s="550">
        <v>289402638</v>
      </c>
      <c r="FP37" s="550">
        <v>289401100</v>
      </c>
      <c r="FQ37" s="550">
        <v>289401100</v>
      </c>
      <c r="FR37" s="550">
        <f t="shared" si="61"/>
        <v>289402.63799999998</v>
      </c>
      <c r="FS37" s="550">
        <f t="shared" si="62"/>
        <v>289401.09999999998</v>
      </c>
      <c r="FT37" s="550">
        <f t="shared" si="63"/>
        <v>289401.09999999998</v>
      </c>
    </row>
    <row r="38" spans="1:176" ht="15" customHeight="1" x14ac:dyDescent="0.25">
      <c r="A38" s="890" t="s">
        <v>890</v>
      </c>
      <c r="B38" s="544" t="s">
        <v>537</v>
      </c>
      <c r="C38" s="545">
        <v>0</v>
      </c>
      <c r="D38" s="545">
        <v>141610000</v>
      </c>
      <c r="E38" s="545">
        <v>12751709</v>
      </c>
      <c r="F38" s="545">
        <v>128858291</v>
      </c>
      <c r="G38" s="545">
        <v>12751709</v>
      </c>
      <c r="H38" s="546">
        <f t="shared" si="10"/>
        <v>147557.62</v>
      </c>
      <c r="I38" s="546">
        <f t="shared" si="11"/>
        <v>13287.280778000002</v>
      </c>
      <c r="J38" s="546">
        <f t="shared" si="12"/>
        <v>134270.33922200001</v>
      </c>
      <c r="K38" s="546">
        <f t="shared" si="13"/>
        <v>13287.280778000002</v>
      </c>
      <c r="O38" s="544" t="s">
        <v>361</v>
      </c>
      <c r="P38" s="545">
        <v>92859420</v>
      </c>
      <c r="Q38" s="546">
        <f t="shared" si="14"/>
        <v>96759.515639999998</v>
      </c>
      <c r="S38" s="544" t="s">
        <v>537</v>
      </c>
      <c r="T38" s="545">
        <v>141610000</v>
      </c>
      <c r="U38" s="545">
        <v>25799421</v>
      </c>
      <c r="V38" s="545">
        <v>25799421</v>
      </c>
      <c r="W38" s="545">
        <v>115810579</v>
      </c>
      <c r="X38" s="546">
        <f t="shared" si="15"/>
        <v>147557.62</v>
      </c>
      <c r="Y38" s="546">
        <f t="shared" si="16"/>
        <v>26882.996682000001</v>
      </c>
      <c r="Z38" s="546">
        <f t="shared" si="17"/>
        <v>26882.996682000001</v>
      </c>
      <c r="AA38" s="546">
        <f t="shared" si="18"/>
        <v>120674.623318</v>
      </c>
      <c r="AC38" s="544" t="s">
        <v>355</v>
      </c>
      <c r="AD38" s="545">
        <v>55811707</v>
      </c>
      <c r="AE38" s="546">
        <f t="shared" si="19"/>
        <v>55811.707000000002</v>
      </c>
      <c r="AG38" s="544" t="s">
        <v>537</v>
      </c>
      <c r="AH38" s="545">
        <v>141610000</v>
      </c>
      <c r="AI38" s="545">
        <v>37586363</v>
      </c>
      <c r="AJ38" s="545">
        <v>37586363</v>
      </c>
      <c r="AK38" s="545">
        <v>104023637</v>
      </c>
      <c r="AL38" s="545">
        <f t="shared" si="20"/>
        <v>141610</v>
      </c>
      <c r="AM38" s="545">
        <f t="shared" si="21"/>
        <v>37586.362999999998</v>
      </c>
      <c r="AN38" s="545">
        <f t="shared" si="22"/>
        <v>37586.362999999998</v>
      </c>
      <c r="AO38" s="545">
        <f t="shared" si="23"/>
        <v>104023.637</v>
      </c>
      <c r="AR38" s="544" t="s">
        <v>357</v>
      </c>
      <c r="AS38" s="545">
        <v>37403534</v>
      </c>
      <c r="AT38" s="545">
        <f t="shared" si="24"/>
        <v>37403.534</v>
      </c>
      <c r="AV38" s="544" t="s">
        <v>537</v>
      </c>
      <c r="AW38" s="545">
        <v>141610000</v>
      </c>
      <c r="AX38" s="545">
        <v>49373305</v>
      </c>
      <c r="AY38" s="545">
        <v>49373305</v>
      </c>
      <c r="AZ38" s="545">
        <v>92236695</v>
      </c>
      <c r="BA38" s="546">
        <f t="shared" si="25"/>
        <v>141610</v>
      </c>
      <c r="BB38" s="546">
        <f t="shared" si="26"/>
        <v>49373.305</v>
      </c>
      <c r="BC38" s="546">
        <f t="shared" si="27"/>
        <v>49373.305</v>
      </c>
      <c r="BD38" s="546">
        <f t="shared" si="28"/>
        <v>92236.695000000007</v>
      </c>
      <c r="BG38" s="544" t="s">
        <v>361</v>
      </c>
      <c r="BH38" s="545">
        <v>100558059</v>
      </c>
      <c r="BI38" s="545">
        <f t="shared" si="29"/>
        <v>100558.05899999999</v>
      </c>
      <c r="BK38" s="544" t="s">
        <v>537</v>
      </c>
      <c r="BL38" s="545">
        <v>141610000</v>
      </c>
      <c r="BM38" s="545">
        <v>61160247</v>
      </c>
      <c r="BN38" s="545">
        <v>61160247</v>
      </c>
      <c r="BO38" s="545">
        <v>80449753</v>
      </c>
      <c r="BP38" s="545">
        <f t="shared" si="30"/>
        <v>141610</v>
      </c>
      <c r="BQ38" s="545">
        <f t="shared" si="31"/>
        <v>61160.247000000003</v>
      </c>
      <c r="BR38" s="545">
        <f t="shared" si="32"/>
        <v>61160.247000000003</v>
      </c>
      <c r="BS38" s="545">
        <f t="shared" si="33"/>
        <v>80449.752999999997</v>
      </c>
      <c r="BV38" s="544" t="s">
        <v>542</v>
      </c>
      <c r="BW38" s="545">
        <v>349605</v>
      </c>
      <c r="BX38" s="546">
        <f t="shared" si="34"/>
        <v>349.60500000000002</v>
      </c>
      <c r="BZ38" s="544" t="s">
        <v>537</v>
      </c>
      <c r="CA38" s="545">
        <v>141610000</v>
      </c>
      <c r="CB38" s="545">
        <v>73006128</v>
      </c>
      <c r="CC38" s="545">
        <v>73006128</v>
      </c>
      <c r="CD38" s="545">
        <v>68603872</v>
      </c>
      <c r="CE38" s="545">
        <f t="shared" si="35"/>
        <v>141610</v>
      </c>
      <c r="CF38" s="545">
        <f t="shared" si="36"/>
        <v>73006.127999999997</v>
      </c>
      <c r="CG38" s="545">
        <f t="shared" si="37"/>
        <v>73006.127999999997</v>
      </c>
      <c r="CH38" s="545">
        <f t="shared" si="38"/>
        <v>68603.872000000003</v>
      </c>
      <c r="CK38" s="547" t="s">
        <v>542</v>
      </c>
      <c r="CL38" s="546">
        <v>347671</v>
      </c>
      <c r="CM38" s="546">
        <f t="shared" si="39"/>
        <v>347.67099999999999</v>
      </c>
      <c r="CP38" s="547" t="s">
        <v>537</v>
      </c>
      <c r="CQ38" s="546">
        <v>141610000</v>
      </c>
      <c r="CR38" s="546">
        <v>84850074</v>
      </c>
      <c r="CS38" s="546">
        <v>84850074</v>
      </c>
      <c r="CT38" s="546">
        <v>56759926</v>
      </c>
      <c r="CU38" s="546">
        <f t="shared" si="64"/>
        <v>141610</v>
      </c>
      <c r="CV38" s="546">
        <f t="shared" si="65"/>
        <v>84850.073999999993</v>
      </c>
      <c r="CW38" s="546">
        <f t="shared" si="66"/>
        <v>84850.073999999993</v>
      </c>
      <c r="CX38" s="546">
        <f t="shared" si="67"/>
        <v>56759.925999999999</v>
      </c>
      <c r="CZ38" s="547" t="s">
        <v>542</v>
      </c>
      <c r="DA38" s="546">
        <v>342840</v>
      </c>
      <c r="DB38" s="546">
        <f t="shared" si="40"/>
        <v>342.84</v>
      </c>
      <c r="DE38" s="544" t="s">
        <v>537</v>
      </c>
      <c r="DF38" s="545">
        <v>141610000</v>
      </c>
      <c r="DG38" s="545">
        <v>96689190</v>
      </c>
      <c r="DH38" s="545">
        <v>96689190</v>
      </c>
      <c r="DI38" s="545">
        <v>44920810</v>
      </c>
      <c r="DJ38" s="546">
        <f t="shared" si="41"/>
        <v>141610</v>
      </c>
      <c r="DK38" s="546">
        <f t="shared" si="42"/>
        <v>96689.19</v>
      </c>
      <c r="DL38" s="546">
        <f t="shared" si="43"/>
        <v>96689.19</v>
      </c>
      <c r="DM38" s="546">
        <f t="shared" si="44"/>
        <v>44920.81</v>
      </c>
      <c r="DP38" s="544" t="s">
        <v>542</v>
      </c>
      <c r="DQ38" s="545">
        <v>349605</v>
      </c>
      <c r="DR38" s="546">
        <f t="shared" si="45"/>
        <v>349.60500000000002</v>
      </c>
      <c r="DT38" s="544" t="s">
        <v>537</v>
      </c>
      <c r="DU38" s="545">
        <v>141610000</v>
      </c>
      <c r="DV38" s="545">
        <v>112393561</v>
      </c>
      <c r="DW38" s="545">
        <v>112393561</v>
      </c>
      <c r="DX38" s="545">
        <v>29216439</v>
      </c>
      <c r="DY38" s="546">
        <f t="shared" si="46"/>
        <v>141610</v>
      </c>
      <c r="DZ38" s="546">
        <f t="shared" si="47"/>
        <v>112393.561</v>
      </c>
      <c r="EA38" s="546">
        <f t="shared" si="48"/>
        <v>112393.561</v>
      </c>
      <c r="EB38" s="546">
        <f t="shared" si="49"/>
        <v>29216.438999999998</v>
      </c>
      <c r="EE38" s="547" t="s">
        <v>356</v>
      </c>
      <c r="EF38" s="546">
        <v>21538</v>
      </c>
      <c r="EG38" s="548">
        <f t="shared" si="50"/>
        <v>21.538</v>
      </c>
      <c r="EI38" s="547" t="s">
        <v>354</v>
      </c>
      <c r="EJ38" s="546">
        <v>277100000</v>
      </c>
      <c r="EK38" s="546">
        <v>241758791</v>
      </c>
      <c r="EL38" s="546">
        <v>241758791</v>
      </c>
      <c r="EM38" s="548">
        <f t="shared" si="51"/>
        <v>277100</v>
      </c>
      <c r="EN38" s="548">
        <f t="shared" si="52"/>
        <v>241758.791</v>
      </c>
      <c r="EO38" s="548">
        <f t="shared" si="53"/>
        <v>241758.791</v>
      </c>
      <c r="ER38" s="544" t="s">
        <v>361</v>
      </c>
      <c r="ES38" s="545">
        <v>79852831</v>
      </c>
      <c r="ET38" s="546">
        <f t="shared" si="54"/>
        <v>79852.831000000006</v>
      </c>
      <c r="EW38" s="544" t="s">
        <v>354</v>
      </c>
      <c r="EX38" s="545">
        <v>0</v>
      </c>
      <c r="EY38" s="545">
        <v>277100000</v>
      </c>
      <c r="EZ38" s="545">
        <v>265379399</v>
      </c>
      <c r="FA38" s="545">
        <v>265379399</v>
      </c>
      <c r="FB38" s="545">
        <v>11720601</v>
      </c>
      <c r="FC38" s="546">
        <f t="shared" si="55"/>
        <v>0</v>
      </c>
      <c r="FD38" s="546">
        <f t="shared" si="56"/>
        <v>277100</v>
      </c>
      <c r="FE38" s="546">
        <f t="shared" si="57"/>
        <v>265379.39899999998</v>
      </c>
      <c r="FF38" s="546">
        <f t="shared" si="58"/>
        <v>265379.39899999998</v>
      </c>
      <c r="FG38" s="546">
        <f t="shared" si="59"/>
        <v>11720.601000000001</v>
      </c>
      <c r="FJ38" s="547" t="s">
        <v>540</v>
      </c>
      <c r="FK38" s="546">
        <v>397316135</v>
      </c>
      <c r="FL38" s="548">
        <f t="shared" si="60"/>
        <v>397316.13500000001</v>
      </c>
      <c r="FN38" s="549" t="s">
        <v>537</v>
      </c>
      <c r="FO38" s="550">
        <v>149822501</v>
      </c>
      <c r="FP38" s="550">
        <v>149820963</v>
      </c>
      <c r="FQ38" s="550">
        <v>149820963</v>
      </c>
      <c r="FR38" s="550">
        <f t="shared" si="61"/>
        <v>149822.50099999999</v>
      </c>
      <c r="FS38" s="550">
        <f t="shared" si="62"/>
        <v>149820.96299999999</v>
      </c>
      <c r="FT38" s="550">
        <f t="shared" si="63"/>
        <v>149820.96299999999</v>
      </c>
    </row>
    <row r="39" spans="1:176" ht="15" customHeight="1" x14ac:dyDescent="0.25">
      <c r="A39" s="890" t="s">
        <v>890</v>
      </c>
      <c r="B39" s="544" t="s">
        <v>538</v>
      </c>
      <c r="C39" s="545">
        <v>0</v>
      </c>
      <c r="D39" s="545">
        <v>2325100000</v>
      </c>
      <c r="E39" s="545">
        <v>171187598</v>
      </c>
      <c r="F39" s="545">
        <v>2153912402</v>
      </c>
      <c r="G39" s="545">
        <v>171187598</v>
      </c>
      <c r="H39" s="546">
        <f t="shared" si="10"/>
        <v>2422754.2000000002</v>
      </c>
      <c r="I39" s="546">
        <f t="shared" si="11"/>
        <v>178377.47711599999</v>
      </c>
      <c r="J39" s="546">
        <f t="shared" si="12"/>
        <v>2244376.7228839998</v>
      </c>
      <c r="K39" s="546">
        <f t="shared" si="13"/>
        <v>178377.47711599999</v>
      </c>
      <c r="O39" s="544" t="s">
        <v>549</v>
      </c>
      <c r="P39" s="545">
        <v>83736676</v>
      </c>
      <c r="Q39" s="546">
        <f t="shared" si="14"/>
        <v>87253.616392000011</v>
      </c>
      <c r="S39" s="544" t="s">
        <v>538</v>
      </c>
      <c r="T39" s="545">
        <v>2325100000</v>
      </c>
      <c r="U39" s="545">
        <v>342920066</v>
      </c>
      <c r="V39" s="545">
        <v>342920066</v>
      </c>
      <c r="W39" s="545">
        <v>1982179934</v>
      </c>
      <c r="X39" s="546">
        <f t="shared" si="15"/>
        <v>2422754.2000000002</v>
      </c>
      <c r="Y39" s="546">
        <f t="shared" si="16"/>
        <v>357322.70877199998</v>
      </c>
      <c r="Z39" s="546">
        <f t="shared" si="17"/>
        <v>357322.70877199998</v>
      </c>
      <c r="AA39" s="546">
        <f t="shared" si="18"/>
        <v>2065431.491228</v>
      </c>
      <c r="AC39" s="544" t="s">
        <v>544</v>
      </c>
      <c r="AD39" s="545">
        <v>55811707</v>
      </c>
      <c r="AE39" s="546">
        <f t="shared" si="19"/>
        <v>55811.707000000002</v>
      </c>
      <c r="AG39" s="544" t="s">
        <v>538</v>
      </c>
      <c r="AH39" s="545">
        <v>2325100000</v>
      </c>
      <c r="AI39" s="545">
        <v>605123504</v>
      </c>
      <c r="AJ39" s="545">
        <v>605123504</v>
      </c>
      <c r="AK39" s="545">
        <v>1719976496</v>
      </c>
      <c r="AL39" s="545">
        <f t="shared" si="20"/>
        <v>2325100</v>
      </c>
      <c r="AM39" s="545">
        <f t="shared" si="21"/>
        <v>605123.50399999996</v>
      </c>
      <c r="AN39" s="545">
        <f t="shared" si="22"/>
        <v>605123.50399999996</v>
      </c>
      <c r="AO39" s="545">
        <f t="shared" si="23"/>
        <v>1719976.496</v>
      </c>
      <c r="AR39" s="544" t="s">
        <v>547</v>
      </c>
      <c r="AS39" s="545">
        <v>18863642</v>
      </c>
      <c r="AT39" s="545">
        <f t="shared" si="24"/>
        <v>18863.642</v>
      </c>
      <c r="AV39" s="544" t="s">
        <v>538</v>
      </c>
      <c r="AW39" s="545">
        <v>2325100000</v>
      </c>
      <c r="AX39" s="545">
        <v>780993969</v>
      </c>
      <c r="AY39" s="545">
        <v>780993969</v>
      </c>
      <c r="AZ39" s="545">
        <v>1544106031</v>
      </c>
      <c r="BA39" s="546">
        <f t="shared" si="25"/>
        <v>2325100</v>
      </c>
      <c r="BB39" s="546">
        <f t="shared" si="26"/>
        <v>780993.96900000004</v>
      </c>
      <c r="BC39" s="546">
        <f t="shared" si="27"/>
        <v>780993.96900000004</v>
      </c>
      <c r="BD39" s="546">
        <f t="shared" si="28"/>
        <v>1544106.031</v>
      </c>
      <c r="BG39" s="544" t="s">
        <v>549</v>
      </c>
      <c r="BH39" s="545">
        <v>91402776</v>
      </c>
      <c r="BI39" s="545">
        <f t="shared" si="29"/>
        <v>91402.775999999998</v>
      </c>
      <c r="BK39" s="544" t="s">
        <v>538</v>
      </c>
      <c r="BL39" s="545">
        <v>2325100000</v>
      </c>
      <c r="BM39" s="545">
        <v>956265250</v>
      </c>
      <c r="BN39" s="545">
        <v>956265250</v>
      </c>
      <c r="BO39" s="545">
        <v>1368834750</v>
      </c>
      <c r="BP39" s="545">
        <f t="shared" si="30"/>
        <v>2325100</v>
      </c>
      <c r="BQ39" s="545">
        <f t="shared" si="31"/>
        <v>956265.25</v>
      </c>
      <c r="BR39" s="545">
        <f t="shared" si="32"/>
        <v>956265.25</v>
      </c>
      <c r="BS39" s="545">
        <f t="shared" si="33"/>
        <v>1368834.75</v>
      </c>
      <c r="BV39" s="544" t="s">
        <v>355</v>
      </c>
      <c r="BW39" s="545">
        <v>61646348</v>
      </c>
      <c r="BX39" s="546">
        <f t="shared" si="34"/>
        <v>61646.347999999998</v>
      </c>
      <c r="BZ39" s="544" t="s">
        <v>538</v>
      </c>
      <c r="CA39" s="545">
        <v>2325100000</v>
      </c>
      <c r="CB39" s="545">
        <v>1222127911</v>
      </c>
      <c r="CC39" s="545">
        <v>1222127911</v>
      </c>
      <c r="CD39" s="545">
        <v>1102972089</v>
      </c>
      <c r="CE39" s="545">
        <f t="shared" si="35"/>
        <v>2325100</v>
      </c>
      <c r="CF39" s="545">
        <f t="shared" si="36"/>
        <v>1222127.9110000001</v>
      </c>
      <c r="CG39" s="545">
        <f t="shared" si="37"/>
        <v>1222127.9110000001</v>
      </c>
      <c r="CH39" s="545">
        <f t="shared" si="38"/>
        <v>1102972.0889999999</v>
      </c>
      <c r="CK39" s="547" t="s">
        <v>355</v>
      </c>
      <c r="CL39" s="546">
        <v>49530738</v>
      </c>
      <c r="CM39" s="546">
        <f t="shared" si="39"/>
        <v>49530.737999999998</v>
      </c>
      <c r="CP39" s="547" t="s">
        <v>538</v>
      </c>
      <c r="CQ39" s="546">
        <v>2325100000</v>
      </c>
      <c r="CR39" s="546">
        <v>1399622350</v>
      </c>
      <c r="CS39" s="546">
        <v>1399622350</v>
      </c>
      <c r="CT39" s="546">
        <v>925477650</v>
      </c>
      <c r="CU39" s="546">
        <f t="shared" si="64"/>
        <v>2325100</v>
      </c>
      <c r="CV39" s="546">
        <f t="shared" si="65"/>
        <v>1399622.35</v>
      </c>
      <c r="CW39" s="546">
        <f t="shared" si="66"/>
        <v>1399622.35</v>
      </c>
      <c r="CX39" s="546">
        <f t="shared" si="67"/>
        <v>925477.65</v>
      </c>
      <c r="CZ39" s="547" t="s">
        <v>355</v>
      </c>
      <c r="DA39" s="546">
        <v>49496770</v>
      </c>
      <c r="DB39" s="546">
        <f t="shared" si="40"/>
        <v>49496.77</v>
      </c>
      <c r="DE39" s="544" t="s">
        <v>538</v>
      </c>
      <c r="DF39" s="545">
        <v>2325100000</v>
      </c>
      <c r="DG39" s="545">
        <v>1576741161</v>
      </c>
      <c r="DH39" s="545">
        <v>1576741161</v>
      </c>
      <c r="DI39" s="545">
        <v>748358839</v>
      </c>
      <c r="DJ39" s="546">
        <f t="shared" si="41"/>
        <v>2325100</v>
      </c>
      <c r="DK39" s="546">
        <f t="shared" si="42"/>
        <v>1576741.1610000001</v>
      </c>
      <c r="DL39" s="546">
        <f t="shared" si="43"/>
        <v>1576741.1610000001</v>
      </c>
      <c r="DM39" s="546">
        <f t="shared" si="44"/>
        <v>748358.83900000004</v>
      </c>
      <c r="DP39" s="544" t="s">
        <v>355</v>
      </c>
      <c r="DQ39" s="545">
        <v>69934890</v>
      </c>
      <c r="DR39" s="546">
        <f t="shared" si="45"/>
        <v>69934.89</v>
      </c>
      <c r="DT39" s="544" t="s">
        <v>538</v>
      </c>
      <c r="DU39" s="545">
        <v>2325100000</v>
      </c>
      <c r="DV39" s="545">
        <v>1849324728</v>
      </c>
      <c r="DW39" s="545">
        <v>1849324728</v>
      </c>
      <c r="DX39" s="545">
        <v>475775272</v>
      </c>
      <c r="DY39" s="546">
        <f t="shared" si="46"/>
        <v>2325100</v>
      </c>
      <c r="DZ39" s="546">
        <f t="shared" si="47"/>
        <v>1849324.7279999999</v>
      </c>
      <c r="EA39" s="546">
        <f t="shared" si="48"/>
        <v>1849324.7279999999</v>
      </c>
      <c r="EB39" s="546">
        <f t="shared" si="49"/>
        <v>475775.272</v>
      </c>
      <c r="EE39" s="547" t="s">
        <v>357</v>
      </c>
      <c r="EF39" s="546">
        <v>32069205</v>
      </c>
      <c r="EG39" s="548">
        <f t="shared" si="50"/>
        <v>32069.205000000002</v>
      </c>
      <c r="EI39" s="547" t="s">
        <v>537</v>
      </c>
      <c r="EJ39" s="546">
        <v>141610000</v>
      </c>
      <c r="EK39" s="546">
        <v>124764068</v>
      </c>
      <c r="EL39" s="546">
        <v>124764068</v>
      </c>
      <c r="EM39" s="548">
        <f t="shared" si="51"/>
        <v>141610</v>
      </c>
      <c r="EN39" s="548">
        <f t="shared" si="52"/>
        <v>124764.068</v>
      </c>
      <c r="EO39" s="548">
        <f t="shared" si="53"/>
        <v>124764.068</v>
      </c>
      <c r="ER39" s="544" t="s">
        <v>549</v>
      </c>
      <c r="ES39" s="545">
        <v>76726013</v>
      </c>
      <c r="ET39" s="546">
        <f t="shared" si="54"/>
        <v>76726.013000000006</v>
      </c>
      <c r="EW39" s="544" t="s">
        <v>537</v>
      </c>
      <c r="EX39" s="545">
        <v>0</v>
      </c>
      <c r="EY39" s="545">
        <v>141610000</v>
      </c>
      <c r="EZ39" s="545">
        <v>137080524</v>
      </c>
      <c r="FA39" s="545">
        <v>137080524</v>
      </c>
      <c r="FB39" s="545">
        <v>4529476</v>
      </c>
      <c r="FC39" s="546">
        <f t="shared" si="55"/>
        <v>0</v>
      </c>
      <c r="FD39" s="546">
        <f t="shared" si="56"/>
        <v>141610</v>
      </c>
      <c r="FE39" s="546">
        <f t="shared" si="57"/>
        <v>137080.524</v>
      </c>
      <c r="FF39" s="546">
        <f t="shared" si="58"/>
        <v>137080.524</v>
      </c>
      <c r="FG39" s="546">
        <f t="shared" si="59"/>
        <v>4529.4759999999997</v>
      </c>
      <c r="FJ39" s="547" t="s">
        <v>541</v>
      </c>
      <c r="FK39" s="546">
        <v>12727705</v>
      </c>
      <c r="FL39" s="548">
        <f t="shared" si="60"/>
        <v>12727.705</v>
      </c>
      <c r="FN39" s="549" t="s">
        <v>538</v>
      </c>
      <c r="FO39" s="550">
        <v>2483922126</v>
      </c>
      <c r="FP39" s="550">
        <v>2483422747</v>
      </c>
      <c r="FQ39" s="550">
        <v>2483422747</v>
      </c>
      <c r="FR39" s="550">
        <f t="shared" si="61"/>
        <v>2483922.1260000002</v>
      </c>
      <c r="FS39" s="550">
        <f t="shared" si="62"/>
        <v>2483422.747</v>
      </c>
      <c r="FT39" s="550">
        <f t="shared" si="63"/>
        <v>2483422.747</v>
      </c>
    </row>
    <row r="40" spans="1:176" ht="15" customHeight="1" x14ac:dyDescent="0.25">
      <c r="A40" s="890" t="s">
        <v>890</v>
      </c>
      <c r="B40" s="544" t="s">
        <v>539</v>
      </c>
      <c r="C40" s="545">
        <v>0</v>
      </c>
      <c r="D40" s="545">
        <v>4714310000</v>
      </c>
      <c r="E40" s="545">
        <v>403381274</v>
      </c>
      <c r="F40" s="545">
        <v>4310928726</v>
      </c>
      <c r="G40" s="545">
        <v>403381274</v>
      </c>
      <c r="H40" s="546">
        <f t="shared" si="10"/>
        <v>4912311.0200000005</v>
      </c>
      <c r="I40" s="546">
        <f t="shared" si="11"/>
        <v>420323.28750799998</v>
      </c>
      <c r="J40" s="546">
        <f t="shared" si="12"/>
        <v>4491987.7324919999</v>
      </c>
      <c r="K40" s="546">
        <f t="shared" si="13"/>
        <v>420323.28750799998</v>
      </c>
      <c r="O40" s="544" t="s">
        <v>550</v>
      </c>
      <c r="P40" s="545">
        <v>81249198</v>
      </c>
      <c r="Q40" s="546">
        <f t="shared" si="14"/>
        <v>84661.664316000009</v>
      </c>
      <c r="S40" s="544" t="s">
        <v>539</v>
      </c>
      <c r="T40" s="545">
        <v>4714310000</v>
      </c>
      <c r="U40" s="545">
        <v>807958508</v>
      </c>
      <c r="V40" s="545">
        <v>807958508</v>
      </c>
      <c r="W40" s="545">
        <v>3906351492</v>
      </c>
      <c r="X40" s="546">
        <f t="shared" si="15"/>
        <v>4912311.0200000005</v>
      </c>
      <c r="Y40" s="546">
        <f t="shared" si="16"/>
        <v>841892.76533600001</v>
      </c>
      <c r="Z40" s="546">
        <f t="shared" si="17"/>
        <v>841892.76533600001</v>
      </c>
      <c r="AA40" s="546">
        <f t="shared" si="18"/>
        <v>4070418.2546640001</v>
      </c>
      <c r="AC40" s="544" t="s">
        <v>545</v>
      </c>
      <c r="AD40" s="545">
        <v>383516024</v>
      </c>
      <c r="AE40" s="546">
        <f t="shared" si="19"/>
        <v>383516.02399999998</v>
      </c>
      <c r="AG40" s="544" t="s">
        <v>539</v>
      </c>
      <c r="AH40" s="545">
        <v>4714310000</v>
      </c>
      <c r="AI40" s="545">
        <v>1215741754</v>
      </c>
      <c r="AJ40" s="545">
        <v>1215741754</v>
      </c>
      <c r="AK40" s="545">
        <v>3498568246</v>
      </c>
      <c r="AL40" s="545">
        <f t="shared" si="20"/>
        <v>4714310</v>
      </c>
      <c r="AM40" s="545">
        <f t="shared" si="21"/>
        <v>1215741.754</v>
      </c>
      <c r="AN40" s="545">
        <f t="shared" si="22"/>
        <v>1215741.754</v>
      </c>
      <c r="AO40" s="545">
        <f t="shared" si="23"/>
        <v>3498568.2459999998</v>
      </c>
      <c r="AR40" s="544" t="s">
        <v>548</v>
      </c>
      <c r="AS40" s="545">
        <v>3165758</v>
      </c>
      <c r="AT40" s="545">
        <f t="shared" si="24"/>
        <v>3165.7579999999998</v>
      </c>
      <c r="AV40" s="544" t="s">
        <v>539</v>
      </c>
      <c r="AW40" s="545">
        <v>4714310000</v>
      </c>
      <c r="AX40" s="545">
        <v>1630720149</v>
      </c>
      <c r="AY40" s="545">
        <v>1630720149</v>
      </c>
      <c r="AZ40" s="545">
        <v>3083589851</v>
      </c>
      <c r="BA40" s="546">
        <f t="shared" si="25"/>
        <v>4714310</v>
      </c>
      <c r="BB40" s="546">
        <f t="shared" si="26"/>
        <v>1630720.149</v>
      </c>
      <c r="BC40" s="546">
        <f t="shared" si="27"/>
        <v>1630720.149</v>
      </c>
      <c r="BD40" s="546">
        <f t="shared" si="28"/>
        <v>3083589.8509999998</v>
      </c>
      <c r="BG40" s="544" t="s">
        <v>550</v>
      </c>
      <c r="BH40" s="545">
        <v>90491227</v>
      </c>
      <c r="BI40" s="545">
        <f t="shared" si="29"/>
        <v>90491.226999999999</v>
      </c>
      <c r="BK40" s="544" t="s">
        <v>539</v>
      </c>
      <c r="BL40" s="545">
        <v>4714310000</v>
      </c>
      <c r="BM40" s="545">
        <v>2045027305</v>
      </c>
      <c r="BN40" s="545">
        <v>2045027305</v>
      </c>
      <c r="BO40" s="545">
        <v>2669282695</v>
      </c>
      <c r="BP40" s="545">
        <f t="shared" si="30"/>
        <v>4714310</v>
      </c>
      <c r="BQ40" s="545">
        <f t="shared" si="31"/>
        <v>2045027.3049999999</v>
      </c>
      <c r="BR40" s="545">
        <f t="shared" si="32"/>
        <v>2045027.3049999999</v>
      </c>
      <c r="BS40" s="545">
        <f t="shared" si="33"/>
        <v>2669282.6949999998</v>
      </c>
      <c r="BV40" s="544" t="s">
        <v>543</v>
      </c>
      <c r="BW40" s="545">
        <v>4060280</v>
      </c>
      <c r="BX40" s="546">
        <f t="shared" si="34"/>
        <v>4060.28</v>
      </c>
      <c r="BZ40" s="544" t="s">
        <v>539</v>
      </c>
      <c r="CA40" s="545">
        <v>4714310000</v>
      </c>
      <c r="CB40" s="545">
        <v>2463947913</v>
      </c>
      <c r="CC40" s="545">
        <v>2463947913</v>
      </c>
      <c r="CD40" s="545">
        <v>2250362087</v>
      </c>
      <c r="CE40" s="545">
        <f t="shared" si="35"/>
        <v>4714310</v>
      </c>
      <c r="CF40" s="545">
        <f t="shared" si="36"/>
        <v>2463947.9130000002</v>
      </c>
      <c r="CG40" s="545">
        <f t="shared" si="37"/>
        <v>2463947.9130000002</v>
      </c>
      <c r="CH40" s="545">
        <f t="shared" si="38"/>
        <v>2250362.0869999998</v>
      </c>
      <c r="CK40" s="547" t="s">
        <v>543</v>
      </c>
      <c r="CL40" s="546">
        <v>4132785</v>
      </c>
      <c r="CM40" s="546">
        <f t="shared" si="39"/>
        <v>4132.7849999999999</v>
      </c>
      <c r="CP40" s="547" t="s">
        <v>539</v>
      </c>
      <c r="CQ40" s="546">
        <v>4714310000</v>
      </c>
      <c r="CR40" s="546">
        <v>2883782558</v>
      </c>
      <c r="CS40" s="546">
        <v>2883782558</v>
      </c>
      <c r="CT40" s="546">
        <v>1830527442</v>
      </c>
      <c r="CU40" s="546">
        <f t="shared" si="64"/>
        <v>4714310</v>
      </c>
      <c r="CV40" s="546">
        <f t="shared" si="65"/>
        <v>2883782.5580000002</v>
      </c>
      <c r="CW40" s="546">
        <f t="shared" si="66"/>
        <v>2883782.5580000002</v>
      </c>
      <c r="CX40" s="546">
        <f t="shared" si="67"/>
        <v>1830527.442</v>
      </c>
      <c r="CZ40" s="547" t="s">
        <v>543</v>
      </c>
      <c r="DA40" s="546">
        <v>4132785</v>
      </c>
      <c r="DB40" s="546">
        <f t="shared" si="40"/>
        <v>4132.7849999999999</v>
      </c>
      <c r="DE40" s="544" t="s">
        <v>539</v>
      </c>
      <c r="DF40" s="545">
        <v>4714310000</v>
      </c>
      <c r="DG40" s="545">
        <v>3303137736</v>
      </c>
      <c r="DH40" s="545">
        <v>3303137736</v>
      </c>
      <c r="DI40" s="545">
        <v>1411172264</v>
      </c>
      <c r="DJ40" s="546">
        <f t="shared" si="41"/>
        <v>4714310</v>
      </c>
      <c r="DK40" s="546">
        <f t="shared" si="42"/>
        <v>3303137.736</v>
      </c>
      <c r="DL40" s="546">
        <f t="shared" si="43"/>
        <v>3303137.736</v>
      </c>
      <c r="DM40" s="546">
        <f t="shared" si="44"/>
        <v>1411172.264</v>
      </c>
      <c r="DP40" s="544" t="s">
        <v>543</v>
      </c>
      <c r="DQ40" s="545">
        <v>4118284</v>
      </c>
      <c r="DR40" s="546">
        <f t="shared" si="45"/>
        <v>4118.2839999999997</v>
      </c>
      <c r="DT40" s="544" t="s">
        <v>539</v>
      </c>
      <c r="DU40" s="545">
        <v>4714310000</v>
      </c>
      <c r="DV40" s="545">
        <v>3720963729</v>
      </c>
      <c r="DW40" s="545">
        <v>3720963729</v>
      </c>
      <c r="DX40" s="545">
        <v>993346271</v>
      </c>
      <c r="DY40" s="546">
        <f t="shared" si="46"/>
        <v>4714310</v>
      </c>
      <c r="DZ40" s="546">
        <f t="shared" si="47"/>
        <v>3720963.7289999998</v>
      </c>
      <c r="EA40" s="546">
        <f t="shared" si="48"/>
        <v>3720963.7289999998</v>
      </c>
      <c r="EB40" s="546">
        <f t="shared" si="49"/>
        <v>993346.27099999995</v>
      </c>
      <c r="EE40" s="547" t="s">
        <v>547</v>
      </c>
      <c r="EF40" s="546">
        <v>20933360</v>
      </c>
      <c r="EG40" s="548">
        <f t="shared" si="50"/>
        <v>20933.36</v>
      </c>
      <c r="EI40" s="547" t="s">
        <v>538</v>
      </c>
      <c r="EJ40" s="546">
        <v>2325100000</v>
      </c>
      <c r="EK40" s="546">
        <v>2025947197</v>
      </c>
      <c r="EL40" s="546">
        <v>2025947197</v>
      </c>
      <c r="EM40" s="548">
        <f t="shared" si="51"/>
        <v>2325100</v>
      </c>
      <c r="EN40" s="548">
        <f t="shared" si="52"/>
        <v>2025947.1969999999</v>
      </c>
      <c r="EO40" s="548">
        <f t="shared" si="53"/>
        <v>2025947.1969999999</v>
      </c>
      <c r="ER40" s="544" t="s">
        <v>550</v>
      </c>
      <c r="ES40" s="545">
        <v>75805513</v>
      </c>
      <c r="ET40" s="546">
        <f t="shared" si="54"/>
        <v>75805.513000000006</v>
      </c>
      <c r="EW40" s="544" t="s">
        <v>538</v>
      </c>
      <c r="EX40" s="545">
        <v>0</v>
      </c>
      <c r="EY40" s="545">
        <v>2325100000</v>
      </c>
      <c r="EZ40" s="545">
        <v>2202804691</v>
      </c>
      <c r="FA40" s="545">
        <v>2202804691</v>
      </c>
      <c r="FB40" s="545">
        <v>122295309</v>
      </c>
      <c r="FC40" s="546">
        <f t="shared" si="55"/>
        <v>0</v>
      </c>
      <c r="FD40" s="546">
        <f t="shared" si="56"/>
        <v>2325100</v>
      </c>
      <c r="FE40" s="546">
        <f t="shared" si="57"/>
        <v>2202804.6910000001</v>
      </c>
      <c r="FF40" s="546">
        <f t="shared" si="58"/>
        <v>2202804.6910000001</v>
      </c>
      <c r="FG40" s="546">
        <f t="shared" si="59"/>
        <v>122295.30899999999</v>
      </c>
      <c r="FJ40" s="547" t="s">
        <v>542</v>
      </c>
      <c r="FK40" s="546">
        <v>358556</v>
      </c>
      <c r="FL40" s="548">
        <f t="shared" si="60"/>
        <v>358.55599999999998</v>
      </c>
      <c r="FN40" s="549" t="s">
        <v>539</v>
      </c>
      <c r="FO40" s="550">
        <v>4986993819</v>
      </c>
      <c r="FP40" s="550">
        <v>4985975215</v>
      </c>
      <c r="FQ40" s="550">
        <v>4985975215</v>
      </c>
      <c r="FR40" s="550">
        <f t="shared" si="61"/>
        <v>4986993.8190000001</v>
      </c>
      <c r="FS40" s="550">
        <f t="shared" si="62"/>
        <v>4985975.2149999999</v>
      </c>
      <c r="FT40" s="550">
        <f t="shared" si="63"/>
        <v>4985975.2149999999</v>
      </c>
    </row>
    <row r="41" spans="1:176" ht="15" customHeight="1" x14ac:dyDescent="0.25">
      <c r="A41" s="890" t="s">
        <v>890</v>
      </c>
      <c r="B41" s="544" t="s">
        <v>540</v>
      </c>
      <c r="C41" s="545">
        <v>0</v>
      </c>
      <c r="D41" s="545">
        <v>1484240000</v>
      </c>
      <c r="E41" s="545">
        <v>0</v>
      </c>
      <c r="F41" s="545">
        <v>1484240000</v>
      </c>
      <c r="G41" s="545">
        <v>0</v>
      </c>
      <c r="H41" s="546">
        <f t="shared" si="10"/>
        <v>1546578.08</v>
      </c>
      <c r="I41" s="546">
        <f t="shared" si="11"/>
        <v>0</v>
      </c>
      <c r="J41" s="546">
        <f t="shared" si="12"/>
        <v>1546578.08</v>
      </c>
      <c r="K41" s="546">
        <f t="shared" si="13"/>
        <v>0</v>
      </c>
      <c r="O41" s="544" t="s">
        <v>551</v>
      </c>
      <c r="P41" s="545">
        <v>2487478</v>
      </c>
      <c r="Q41" s="546">
        <f t="shared" si="14"/>
        <v>2591.952076</v>
      </c>
      <c r="S41" s="544" t="s">
        <v>540</v>
      </c>
      <c r="T41" s="545">
        <v>1484240000</v>
      </c>
      <c r="U41" s="545">
        <v>0</v>
      </c>
      <c r="V41" s="545">
        <v>0</v>
      </c>
      <c r="W41" s="545">
        <v>1484240000</v>
      </c>
      <c r="X41" s="546">
        <f t="shared" si="15"/>
        <v>1546578.08</v>
      </c>
      <c r="Y41" s="546">
        <f t="shared" si="16"/>
        <v>0</v>
      </c>
      <c r="Z41" s="546">
        <f t="shared" si="17"/>
        <v>0</v>
      </c>
      <c r="AA41" s="546">
        <f t="shared" si="18"/>
        <v>1546578.08</v>
      </c>
      <c r="AC41" s="544" t="s">
        <v>546</v>
      </c>
      <c r="AD41" s="545">
        <v>194514333</v>
      </c>
      <c r="AE41" s="546">
        <f t="shared" si="19"/>
        <v>194514.33300000001</v>
      </c>
      <c r="AG41" s="544" t="s">
        <v>540</v>
      </c>
      <c r="AH41" s="545">
        <v>1484240000</v>
      </c>
      <c r="AI41" s="545">
        <v>383909927</v>
      </c>
      <c r="AJ41" s="545">
        <v>383909927</v>
      </c>
      <c r="AK41" s="545">
        <v>1100330073</v>
      </c>
      <c r="AL41" s="545">
        <f t="shared" si="20"/>
        <v>1484240</v>
      </c>
      <c r="AM41" s="545">
        <f t="shared" si="21"/>
        <v>383909.92700000003</v>
      </c>
      <c r="AN41" s="545">
        <f t="shared" si="22"/>
        <v>383909.92700000003</v>
      </c>
      <c r="AO41" s="545">
        <f t="shared" si="23"/>
        <v>1100330.0730000001</v>
      </c>
      <c r="AR41" s="544" t="s">
        <v>585</v>
      </c>
      <c r="AS41" s="545">
        <v>15374134</v>
      </c>
      <c r="AT41" s="545">
        <f t="shared" si="24"/>
        <v>15374.134</v>
      </c>
      <c r="AV41" s="544" t="s">
        <v>540</v>
      </c>
      <c r="AW41" s="545">
        <v>1484240000</v>
      </c>
      <c r="AX41" s="545">
        <v>384981287</v>
      </c>
      <c r="AY41" s="545">
        <v>384981287</v>
      </c>
      <c r="AZ41" s="545">
        <v>1099258713</v>
      </c>
      <c r="BA41" s="546">
        <f t="shared" si="25"/>
        <v>1484240</v>
      </c>
      <c r="BB41" s="546">
        <f t="shared" si="26"/>
        <v>384981.28700000001</v>
      </c>
      <c r="BC41" s="546">
        <f t="shared" si="27"/>
        <v>384981.28700000001</v>
      </c>
      <c r="BD41" s="546">
        <f t="shared" si="28"/>
        <v>1099258.713</v>
      </c>
      <c r="BG41" s="544" t="s">
        <v>551</v>
      </c>
      <c r="BH41" s="545">
        <v>911549</v>
      </c>
      <c r="BI41" s="545">
        <f t="shared" si="29"/>
        <v>911.54899999999998</v>
      </c>
      <c r="BK41" s="544" t="s">
        <v>540</v>
      </c>
      <c r="BL41" s="545">
        <v>1484240000</v>
      </c>
      <c r="BM41" s="545">
        <v>384981287</v>
      </c>
      <c r="BN41" s="545">
        <v>384981287</v>
      </c>
      <c r="BO41" s="545">
        <v>1099258713</v>
      </c>
      <c r="BP41" s="545">
        <f t="shared" si="30"/>
        <v>1484240</v>
      </c>
      <c r="BQ41" s="545">
        <f t="shared" si="31"/>
        <v>384981.28700000001</v>
      </c>
      <c r="BR41" s="545">
        <f t="shared" si="32"/>
        <v>384981.28700000001</v>
      </c>
      <c r="BS41" s="545">
        <f t="shared" si="33"/>
        <v>1099258.713</v>
      </c>
      <c r="BV41" s="544" t="s">
        <v>544</v>
      </c>
      <c r="BW41" s="545">
        <v>57586068</v>
      </c>
      <c r="BX41" s="546">
        <f t="shared" si="34"/>
        <v>57586.067999999999</v>
      </c>
      <c r="BZ41" s="544" t="s">
        <v>540</v>
      </c>
      <c r="CA41" s="545">
        <v>1484240000</v>
      </c>
      <c r="CB41" s="545">
        <v>776369475</v>
      </c>
      <c r="CC41" s="545">
        <v>776369475</v>
      </c>
      <c r="CD41" s="545">
        <v>707870525</v>
      </c>
      <c r="CE41" s="545">
        <f t="shared" si="35"/>
        <v>1484240</v>
      </c>
      <c r="CF41" s="545">
        <f t="shared" si="36"/>
        <v>776369.47499999998</v>
      </c>
      <c r="CG41" s="545">
        <f t="shared" si="37"/>
        <v>776369.47499999998</v>
      </c>
      <c r="CH41" s="545">
        <f t="shared" si="38"/>
        <v>707870.52500000002</v>
      </c>
      <c r="CK41" s="547" t="s">
        <v>544</v>
      </c>
      <c r="CL41" s="546">
        <v>45397953</v>
      </c>
      <c r="CM41" s="546">
        <f t="shared" si="39"/>
        <v>45397.953000000001</v>
      </c>
      <c r="CP41" s="547" t="s">
        <v>540</v>
      </c>
      <c r="CQ41" s="546">
        <v>1484240000</v>
      </c>
      <c r="CR41" s="546">
        <v>776791410</v>
      </c>
      <c r="CS41" s="546">
        <v>776791410</v>
      </c>
      <c r="CT41" s="546">
        <v>707448590</v>
      </c>
      <c r="CU41" s="546">
        <f t="shared" si="64"/>
        <v>1484240</v>
      </c>
      <c r="CV41" s="546">
        <f t="shared" si="65"/>
        <v>776791.41</v>
      </c>
      <c r="CW41" s="546">
        <f t="shared" si="66"/>
        <v>776791.41</v>
      </c>
      <c r="CX41" s="546">
        <f t="shared" si="67"/>
        <v>707448.59</v>
      </c>
      <c r="CZ41" s="547" t="s">
        <v>544</v>
      </c>
      <c r="DA41" s="546">
        <v>45363985</v>
      </c>
      <c r="DB41" s="546">
        <f t="shared" si="40"/>
        <v>45363.985000000001</v>
      </c>
      <c r="DE41" s="544" t="s">
        <v>540</v>
      </c>
      <c r="DF41" s="545">
        <v>1484240000</v>
      </c>
      <c r="DG41" s="545">
        <v>776784645</v>
      </c>
      <c r="DH41" s="545">
        <v>776784645</v>
      </c>
      <c r="DI41" s="545">
        <v>707455355</v>
      </c>
      <c r="DJ41" s="546">
        <f t="shared" si="41"/>
        <v>1484240</v>
      </c>
      <c r="DK41" s="546">
        <f t="shared" si="42"/>
        <v>776784.64500000002</v>
      </c>
      <c r="DL41" s="546">
        <f t="shared" si="43"/>
        <v>776784.64500000002</v>
      </c>
      <c r="DM41" s="546">
        <f t="shared" si="44"/>
        <v>707455.35499999998</v>
      </c>
      <c r="DP41" s="544" t="s">
        <v>544</v>
      </c>
      <c r="DQ41" s="545">
        <v>65816606</v>
      </c>
      <c r="DR41" s="546">
        <f t="shared" si="45"/>
        <v>65816.606</v>
      </c>
      <c r="DT41" s="544" t="s">
        <v>540</v>
      </c>
      <c r="DU41" s="545">
        <v>1484240000</v>
      </c>
      <c r="DV41" s="545">
        <v>1172095583</v>
      </c>
      <c r="DW41" s="545">
        <v>1172095583</v>
      </c>
      <c r="DX41" s="545">
        <v>312144417</v>
      </c>
      <c r="DY41" s="546">
        <f t="shared" si="46"/>
        <v>1484240</v>
      </c>
      <c r="DZ41" s="546">
        <f t="shared" si="47"/>
        <v>1172095.5830000001</v>
      </c>
      <c r="EA41" s="546">
        <f t="shared" si="48"/>
        <v>1172095.5830000001</v>
      </c>
      <c r="EB41" s="546">
        <f t="shared" si="49"/>
        <v>312144.41700000002</v>
      </c>
      <c r="EE41" s="547" t="s">
        <v>548</v>
      </c>
      <c r="EF41" s="546">
        <v>3476177</v>
      </c>
      <c r="EG41" s="548">
        <f t="shared" si="50"/>
        <v>3476.1770000000001</v>
      </c>
      <c r="EI41" s="547" t="s">
        <v>539</v>
      </c>
      <c r="EJ41" s="546">
        <v>4714310000</v>
      </c>
      <c r="EK41" s="546">
        <v>4138300578</v>
      </c>
      <c r="EL41" s="546">
        <v>4138300578</v>
      </c>
      <c r="EM41" s="548">
        <f t="shared" si="51"/>
        <v>4714310</v>
      </c>
      <c r="EN41" s="548">
        <f t="shared" si="52"/>
        <v>4138300.5780000002</v>
      </c>
      <c r="EO41" s="548">
        <f t="shared" si="53"/>
        <v>4138300.5780000002</v>
      </c>
      <c r="ER41" s="544" t="s">
        <v>551</v>
      </c>
      <c r="ES41" s="545">
        <v>920500</v>
      </c>
      <c r="ET41" s="546">
        <f t="shared" si="54"/>
        <v>920.5</v>
      </c>
      <c r="EW41" s="544" t="s">
        <v>539</v>
      </c>
      <c r="EX41" s="545">
        <v>0</v>
      </c>
      <c r="EY41" s="545">
        <v>4714310000</v>
      </c>
      <c r="EZ41" s="545">
        <v>4556468913</v>
      </c>
      <c r="FA41" s="545">
        <v>4556468913</v>
      </c>
      <c r="FB41" s="545">
        <v>157841087</v>
      </c>
      <c r="FC41" s="546">
        <f t="shared" si="55"/>
        <v>0</v>
      </c>
      <c r="FD41" s="546">
        <f t="shared" si="56"/>
        <v>4714310</v>
      </c>
      <c r="FE41" s="546">
        <f t="shared" si="57"/>
        <v>4556468.9129999997</v>
      </c>
      <c r="FF41" s="546">
        <f t="shared" si="58"/>
        <v>4556468.9129999997</v>
      </c>
      <c r="FG41" s="546">
        <f t="shared" si="59"/>
        <v>157841.087</v>
      </c>
      <c r="FJ41" s="547" t="s">
        <v>355</v>
      </c>
      <c r="FK41" s="546">
        <v>63655189</v>
      </c>
      <c r="FL41" s="548">
        <f t="shared" si="60"/>
        <v>63655.188999999998</v>
      </c>
      <c r="FN41" s="549" t="s">
        <v>540</v>
      </c>
      <c r="FO41" s="550">
        <v>1570241260</v>
      </c>
      <c r="FP41" s="550">
        <v>1569584786</v>
      </c>
      <c r="FQ41" s="550">
        <v>1569584786</v>
      </c>
      <c r="FR41" s="550">
        <f t="shared" si="61"/>
        <v>1570241.26</v>
      </c>
      <c r="FS41" s="550">
        <f t="shared" si="62"/>
        <v>1569584.7860000001</v>
      </c>
      <c r="FT41" s="550">
        <f t="shared" si="63"/>
        <v>1569584.7860000001</v>
      </c>
    </row>
    <row r="42" spans="1:176" ht="15" customHeight="1" x14ac:dyDescent="0.25">
      <c r="A42" s="890" t="s">
        <v>890</v>
      </c>
      <c r="B42" s="544" t="s">
        <v>542</v>
      </c>
      <c r="C42" s="545">
        <v>0</v>
      </c>
      <c r="D42" s="545">
        <v>347866</v>
      </c>
      <c r="E42" s="545">
        <v>347866</v>
      </c>
      <c r="F42" s="545">
        <v>0</v>
      </c>
      <c r="G42" s="545">
        <v>347866</v>
      </c>
      <c r="H42" s="546">
        <f t="shared" si="10"/>
        <v>362.47637200000003</v>
      </c>
      <c r="I42" s="546">
        <f t="shared" si="11"/>
        <v>362.47637200000003</v>
      </c>
      <c r="J42" s="546">
        <f t="shared" si="12"/>
        <v>0</v>
      </c>
      <c r="K42" s="546">
        <f t="shared" si="13"/>
        <v>362.47637200000003</v>
      </c>
      <c r="O42" s="544" t="s">
        <v>362</v>
      </c>
      <c r="P42" s="545">
        <v>9122744</v>
      </c>
      <c r="Q42" s="546">
        <f t="shared" si="14"/>
        <v>9505.8992480000015</v>
      </c>
      <c r="S42" s="544" t="s">
        <v>542</v>
      </c>
      <c r="T42" s="545">
        <v>695732</v>
      </c>
      <c r="U42" s="545">
        <v>695732</v>
      </c>
      <c r="V42" s="545">
        <v>695732</v>
      </c>
      <c r="W42" s="545">
        <v>0</v>
      </c>
      <c r="X42" s="546">
        <f t="shared" si="15"/>
        <v>724.95274400000005</v>
      </c>
      <c r="Y42" s="546">
        <f t="shared" si="16"/>
        <v>724.95274400000005</v>
      </c>
      <c r="Z42" s="546">
        <f t="shared" si="17"/>
        <v>724.95274400000005</v>
      </c>
      <c r="AA42" s="546">
        <f t="shared" si="18"/>
        <v>0</v>
      </c>
      <c r="AC42" s="544" t="s">
        <v>356</v>
      </c>
      <c r="AD42" s="545">
        <v>189001691</v>
      </c>
      <c r="AE42" s="546">
        <f t="shared" si="19"/>
        <v>189001.69099999999</v>
      </c>
      <c r="AG42" s="544" t="s">
        <v>541</v>
      </c>
      <c r="AH42" s="545">
        <v>13108000</v>
      </c>
      <c r="AI42" s="545">
        <v>13107207</v>
      </c>
      <c r="AJ42" s="545">
        <v>13107207</v>
      </c>
      <c r="AK42" s="545">
        <v>793</v>
      </c>
      <c r="AL42" s="545">
        <f t="shared" si="20"/>
        <v>13108</v>
      </c>
      <c r="AM42" s="545">
        <f t="shared" si="21"/>
        <v>13107.207</v>
      </c>
      <c r="AN42" s="545">
        <f t="shared" si="22"/>
        <v>13107.207</v>
      </c>
      <c r="AO42" s="545">
        <f t="shared" si="23"/>
        <v>0.79300000000000004</v>
      </c>
      <c r="AR42" s="544" t="s">
        <v>361</v>
      </c>
      <c r="AS42" s="545">
        <v>100300672</v>
      </c>
      <c r="AT42" s="545">
        <f t="shared" si="24"/>
        <v>100300.67200000001</v>
      </c>
      <c r="AV42" s="544" t="s">
        <v>541</v>
      </c>
      <c r="AW42" s="545">
        <v>13108000</v>
      </c>
      <c r="AX42" s="545">
        <v>13107207</v>
      </c>
      <c r="AY42" s="545">
        <v>13107207</v>
      </c>
      <c r="AZ42" s="545">
        <v>793</v>
      </c>
      <c r="BA42" s="546">
        <f t="shared" si="25"/>
        <v>13108</v>
      </c>
      <c r="BB42" s="546">
        <f t="shared" si="26"/>
        <v>13107.207</v>
      </c>
      <c r="BC42" s="546">
        <f t="shared" si="27"/>
        <v>13107.207</v>
      </c>
      <c r="BD42" s="546">
        <f t="shared" si="28"/>
        <v>0.79300000000000004</v>
      </c>
      <c r="BG42" s="544" t="s">
        <v>362</v>
      </c>
      <c r="BH42" s="545">
        <v>9155283</v>
      </c>
      <c r="BI42" s="545">
        <f t="shared" si="29"/>
        <v>9155.2829999999994</v>
      </c>
      <c r="BK42" s="544" t="s">
        <v>541</v>
      </c>
      <c r="BL42" s="545">
        <v>13108000</v>
      </c>
      <c r="BM42" s="545">
        <v>13107207</v>
      </c>
      <c r="BN42" s="545">
        <v>13107207</v>
      </c>
      <c r="BO42" s="545">
        <v>793</v>
      </c>
      <c r="BP42" s="545">
        <f t="shared" si="30"/>
        <v>13108</v>
      </c>
      <c r="BQ42" s="545">
        <f t="shared" si="31"/>
        <v>13107.207</v>
      </c>
      <c r="BR42" s="545">
        <f t="shared" si="32"/>
        <v>13107.207</v>
      </c>
      <c r="BS42" s="545">
        <f t="shared" si="33"/>
        <v>0.79300000000000004</v>
      </c>
      <c r="BV42" s="544" t="s">
        <v>545</v>
      </c>
      <c r="BW42" s="545">
        <v>385775022</v>
      </c>
      <c r="BX42" s="546">
        <f t="shared" si="34"/>
        <v>385775.022</v>
      </c>
      <c r="BZ42" s="544" t="s">
        <v>541</v>
      </c>
      <c r="CA42" s="545">
        <v>26282100</v>
      </c>
      <c r="CB42" s="545">
        <v>26281307</v>
      </c>
      <c r="CC42" s="545">
        <v>26281307</v>
      </c>
      <c r="CD42" s="545">
        <v>793</v>
      </c>
      <c r="CE42" s="545">
        <f t="shared" si="35"/>
        <v>26282.1</v>
      </c>
      <c r="CF42" s="545">
        <f t="shared" si="36"/>
        <v>26281.307000000001</v>
      </c>
      <c r="CG42" s="545">
        <f t="shared" si="37"/>
        <v>26281.307000000001</v>
      </c>
      <c r="CH42" s="545">
        <f t="shared" si="38"/>
        <v>0.79300000000000004</v>
      </c>
      <c r="CK42" s="547" t="s">
        <v>545</v>
      </c>
      <c r="CL42" s="546">
        <v>436955</v>
      </c>
      <c r="CM42" s="546">
        <f t="shared" si="39"/>
        <v>436.95499999999998</v>
      </c>
      <c r="CP42" s="547" t="s">
        <v>541</v>
      </c>
      <c r="CQ42" s="546">
        <v>26282100</v>
      </c>
      <c r="CR42" s="546">
        <v>26279372</v>
      </c>
      <c r="CS42" s="546">
        <v>26279372</v>
      </c>
      <c r="CT42" s="546">
        <v>2728</v>
      </c>
      <c r="CU42" s="546">
        <f t="shared" si="64"/>
        <v>26282.1</v>
      </c>
      <c r="CV42" s="546">
        <f t="shared" si="65"/>
        <v>26279.371999999999</v>
      </c>
      <c r="CW42" s="546">
        <f t="shared" si="66"/>
        <v>26279.371999999999</v>
      </c>
      <c r="CX42" s="546">
        <f t="shared" si="67"/>
        <v>2.7280000000000002</v>
      </c>
      <c r="CZ42" s="547" t="s">
        <v>545</v>
      </c>
      <c r="DA42" s="546">
        <v>-13530</v>
      </c>
      <c r="DB42" s="546">
        <f t="shared" si="40"/>
        <v>-13.53</v>
      </c>
      <c r="DE42" s="544" t="s">
        <v>541</v>
      </c>
      <c r="DF42" s="545">
        <v>26282100</v>
      </c>
      <c r="DG42" s="545">
        <v>26272608</v>
      </c>
      <c r="DH42" s="545">
        <v>26272608</v>
      </c>
      <c r="DI42" s="545">
        <v>9492</v>
      </c>
      <c r="DJ42" s="546">
        <f t="shared" si="41"/>
        <v>26282.1</v>
      </c>
      <c r="DK42" s="546">
        <f t="shared" si="42"/>
        <v>26272.608</v>
      </c>
      <c r="DL42" s="546">
        <f t="shared" si="43"/>
        <v>26272.608</v>
      </c>
      <c r="DM42" s="546">
        <f t="shared" si="44"/>
        <v>9.4920000000000009</v>
      </c>
      <c r="DP42" s="544" t="s">
        <v>545</v>
      </c>
      <c r="DQ42" s="545">
        <v>386347439</v>
      </c>
      <c r="DR42" s="546">
        <f t="shared" si="45"/>
        <v>386347.43900000001</v>
      </c>
      <c r="DT42" s="544" t="s">
        <v>541</v>
      </c>
      <c r="DU42" s="545">
        <v>40282100</v>
      </c>
      <c r="DV42" s="545">
        <v>39304803</v>
      </c>
      <c r="DW42" s="545">
        <v>39304803</v>
      </c>
      <c r="DX42" s="545">
        <v>977297</v>
      </c>
      <c r="DY42" s="546">
        <f t="shared" si="46"/>
        <v>40282.1</v>
      </c>
      <c r="DZ42" s="546">
        <f t="shared" si="47"/>
        <v>39304.803</v>
      </c>
      <c r="EA42" s="546">
        <f t="shared" si="48"/>
        <v>39304.803</v>
      </c>
      <c r="EB42" s="546">
        <f t="shared" si="49"/>
        <v>977.29700000000003</v>
      </c>
      <c r="EE42" s="547" t="s">
        <v>585</v>
      </c>
      <c r="EF42" s="546">
        <v>7659668</v>
      </c>
      <c r="EG42" s="548">
        <f t="shared" si="50"/>
        <v>7659.6679999999997</v>
      </c>
      <c r="EI42" s="547" t="s">
        <v>540</v>
      </c>
      <c r="EJ42" s="546">
        <v>1484240000</v>
      </c>
      <c r="EK42" s="546">
        <v>1172268651</v>
      </c>
      <c r="EL42" s="546">
        <v>1172268651</v>
      </c>
      <c r="EM42" s="548">
        <f t="shared" si="51"/>
        <v>1484240</v>
      </c>
      <c r="EN42" s="548">
        <f t="shared" si="52"/>
        <v>1172268.6510000001</v>
      </c>
      <c r="EO42" s="548">
        <f t="shared" si="53"/>
        <v>1172268.6510000001</v>
      </c>
      <c r="ER42" s="544" t="s">
        <v>362</v>
      </c>
      <c r="ES42" s="545">
        <v>3126818</v>
      </c>
      <c r="ET42" s="546">
        <f t="shared" si="54"/>
        <v>3126.8180000000002</v>
      </c>
      <c r="EW42" s="544" t="s">
        <v>540</v>
      </c>
      <c r="EX42" s="545">
        <v>0</v>
      </c>
      <c r="EY42" s="545">
        <v>1484240000</v>
      </c>
      <c r="EZ42" s="545">
        <v>1172268651</v>
      </c>
      <c r="FA42" s="545">
        <v>1172268651</v>
      </c>
      <c r="FB42" s="545">
        <v>311971349</v>
      </c>
      <c r="FC42" s="546">
        <f t="shared" si="55"/>
        <v>0</v>
      </c>
      <c r="FD42" s="546">
        <f t="shared" si="56"/>
        <v>1484240</v>
      </c>
      <c r="FE42" s="546">
        <f t="shared" si="57"/>
        <v>1172268.6510000001</v>
      </c>
      <c r="FF42" s="546">
        <f t="shared" si="58"/>
        <v>1172268.6510000001</v>
      </c>
      <c r="FG42" s="546">
        <f t="shared" si="59"/>
        <v>311971.34899999999</v>
      </c>
      <c r="FJ42" s="547" t="s">
        <v>543</v>
      </c>
      <c r="FK42" s="546">
        <v>4219791</v>
      </c>
      <c r="FL42" s="548">
        <f t="shared" si="60"/>
        <v>4219.7910000000002</v>
      </c>
      <c r="FN42" s="549" t="s">
        <v>541</v>
      </c>
      <c r="FO42" s="550">
        <v>52034045</v>
      </c>
      <c r="FP42" s="550">
        <v>52032508</v>
      </c>
      <c r="FQ42" s="550">
        <v>52032508</v>
      </c>
      <c r="FR42" s="550">
        <f t="shared" si="61"/>
        <v>52034.044999999998</v>
      </c>
      <c r="FS42" s="550">
        <f t="shared" si="62"/>
        <v>52032.508000000002</v>
      </c>
      <c r="FT42" s="550">
        <f t="shared" si="63"/>
        <v>52032.508000000002</v>
      </c>
    </row>
    <row r="43" spans="1:176" ht="15" customHeight="1" x14ac:dyDescent="0.25">
      <c r="A43" s="890" t="s">
        <v>890</v>
      </c>
      <c r="B43" s="544" t="s">
        <v>826</v>
      </c>
      <c r="C43" s="545">
        <v>0</v>
      </c>
      <c r="D43" s="545">
        <v>110070000</v>
      </c>
      <c r="E43" s="545">
        <v>0</v>
      </c>
      <c r="F43" s="545">
        <v>110070000</v>
      </c>
      <c r="G43" s="545">
        <v>0</v>
      </c>
      <c r="H43" s="546">
        <f t="shared" si="10"/>
        <v>114692.94</v>
      </c>
      <c r="I43" s="546">
        <f t="shared" si="11"/>
        <v>0</v>
      </c>
      <c r="J43" s="546">
        <f t="shared" si="12"/>
        <v>114692.94</v>
      </c>
      <c r="K43" s="546">
        <f t="shared" si="13"/>
        <v>0</v>
      </c>
      <c r="O43" s="544" t="s">
        <v>364</v>
      </c>
      <c r="P43" s="545">
        <v>135483642</v>
      </c>
      <c r="Q43" s="546">
        <f t="shared" si="14"/>
        <v>141173.954964</v>
      </c>
      <c r="S43" s="544" t="s">
        <v>826</v>
      </c>
      <c r="T43" s="545">
        <v>110070000</v>
      </c>
      <c r="U43" s="545">
        <v>0</v>
      </c>
      <c r="V43" s="545">
        <v>0</v>
      </c>
      <c r="W43" s="545">
        <v>110070000</v>
      </c>
      <c r="X43" s="546">
        <f t="shared" si="15"/>
        <v>114692.94</v>
      </c>
      <c r="Y43" s="546">
        <f t="shared" si="16"/>
        <v>0</v>
      </c>
      <c r="Z43" s="546">
        <f t="shared" si="17"/>
        <v>0</v>
      </c>
      <c r="AA43" s="546">
        <f t="shared" si="18"/>
        <v>114692.94</v>
      </c>
      <c r="AC43" s="544" t="s">
        <v>357</v>
      </c>
      <c r="AD43" s="545">
        <v>31954843</v>
      </c>
      <c r="AE43" s="546">
        <f t="shared" si="19"/>
        <v>31954.843000000001</v>
      </c>
      <c r="AG43" s="544" t="s">
        <v>542</v>
      </c>
      <c r="AH43" s="545">
        <v>1587732</v>
      </c>
      <c r="AI43" s="545">
        <v>1043598</v>
      </c>
      <c r="AJ43" s="545">
        <v>1043598</v>
      </c>
      <c r="AK43" s="545">
        <v>544134</v>
      </c>
      <c r="AL43" s="545">
        <f t="shared" si="20"/>
        <v>1587.732</v>
      </c>
      <c r="AM43" s="545">
        <f t="shared" si="21"/>
        <v>1043.598</v>
      </c>
      <c r="AN43" s="545">
        <f t="shared" si="22"/>
        <v>1043.598</v>
      </c>
      <c r="AO43" s="545">
        <f t="shared" si="23"/>
        <v>544.13400000000001</v>
      </c>
      <c r="AR43" s="544" t="s">
        <v>549</v>
      </c>
      <c r="AS43" s="545">
        <v>89302824</v>
      </c>
      <c r="AT43" s="545">
        <f t="shared" si="24"/>
        <v>89302.823999999993</v>
      </c>
      <c r="AV43" s="544" t="s">
        <v>542</v>
      </c>
      <c r="AW43" s="545">
        <v>1587732</v>
      </c>
      <c r="AX43" s="545">
        <v>1391464</v>
      </c>
      <c r="AY43" s="545">
        <v>1391464</v>
      </c>
      <c r="AZ43" s="545">
        <v>196268</v>
      </c>
      <c r="BA43" s="546">
        <f t="shared" si="25"/>
        <v>1587.732</v>
      </c>
      <c r="BB43" s="546">
        <f t="shared" si="26"/>
        <v>1391.4639999999999</v>
      </c>
      <c r="BC43" s="546">
        <f t="shared" si="27"/>
        <v>1391.4639999999999</v>
      </c>
      <c r="BD43" s="546">
        <f t="shared" si="28"/>
        <v>196.268</v>
      </c>
      <c r="BG43" s="544" t="s">
        <v>364</v>
      </c>
      <c r="BH43" s="545">
        <v>291375775</v>
      </c>
      <c r="BI43" s="545">
        <f t="shared" si="29"/>
        <v>291375.77500000002</v>
      </c>
      <c r="BK43" s="544" t="s">
        <v>542</v>
      </c>
      <c r="BL43" s="545">
        <v>3674928</v>
      </c>
      <c r="BM43" s="545">
        <v>1739330</v>
      </c>
      <c r="BN43" s="545">
        <v>1739330</v>
      </c>
      <c r="BO43" s="545">
        <v>1935598</v>
      </c>
      <c r="BP43" s="545">
        <f t="shared" si="30"/>
        <v>3674.9279999999999</v>
      </c>
      <c r="BQ43" s="545">
        <f t="shared" si="31"/>
        <v>1739.33</v>
      </c>
      <c r="BR43" s="545">
        <f t="shared" si="32"/>
        <v>1739.33</v>
      </c>
      <c r="BS43" s="545">
        <f t="shared" si="33"/>
        <v>1935.598</v>
      </c>
      <c r="BV43" s="544" t="s">
        <v>546</v>
      </c>
      <c r="BW43" s="545">
        <v>198303348</v>
      </c>
      <c r="BX43" s="546">
        <f t="shared" si="34"/>
        <v>198303.348</v>
      </c>
      <c r="BZ43" s="544" t="s">
        <v>542</v>
      </c>
      <c r="CA43" s="545">
        <v>3674928</v>
      </c>
      <c r="CB43" s="545">
        <v>2088935</v>
      </c>
      <c r="CC43" s="545">
        <v>2088935</v>
      </c>
      <c r="CD43" s="545">
        <v>1585993</v>
      </c>
      <c r="CE43" s="545">
        <f t="shared" si="35"/>
        <v>3674.9279999999999</v>
      </c>
      <c r="CF43" s="545">
        <f t="shared" si="36"/>
        <v>2088.9349999999999</v>
      </c>
      <c r="CG43" s="545">
        <f t="shared" si="37"/>
        <v>2088.9349999999999</v>
      </c>
      <c r="CH43" s="545">
        <f t="shared" si="38"/>
        <v>1585.9929999999999</v>
      </c>
      <c r="CK43" s="547" t="s">
        <v>546</v>
      </c>
      <c r="CL43" s="546">
        <v>212826</v>
      </c>
      <c r="CM43" s="546">
        <f t="shared" si="39"/>
        <v>212.82599999999999</v>
      </c>
      <c r="CP43" s="547" t="s">
        <v>542</v>
      </c>
      <c r="CQ43" s="546">
        <v>3674928</v>
      </c>
      <c r="CR43" s="546">
        <v>2436606</v>
      </c>
      <c r="CS43" s="546">
        <v>2436606</v>
      </c>
      <c r="CT43" s="546">
        <v>1238322</v>
      </c>
      <c r="CU43" s="546">
        <f t="shared" si="64"/>
        <v>3674.9279999999999</v>
      </c>
      <c r="CV43" s="546">
        <f t="shared" si="65"/>
        <v>2436.6060000000002</v>
      </c>
      <c r="CW43" s="546">
        <f t="shared" si="66"/>
        <v>2436.6060000000002</v>
      </c>
      <c r="CX43" s="546">
        <f t="shared" si="67"/>
        <v>1238.3219999999999</v>
      </c>
      <c r="CZ43" s="547" t="s">
        <v>546</v>
      </c>
      <c r="DA43" s="546">
        <v>-6765</v>
      </c>
      <c r="DB43" s="546">
        <f t="shared" si="40"/>
        <v>-6.7649999999999997</v>
      </c>
      <c r="DE43" s="544" t="s">
        <v>542</v>
      </c>
      <c r="DF43" s="545">
        <v>3674928</v>
      </c>
      <c r="DG43" s="545">
        <v>2779446</v>
      </c>
      <c r="DH43" s="545">
        <v>2779446</v>
      </c>
      <c r="DI43" s="545">
        <v>895482</v>
      </c>
      <c r="DJ43" s="546">
        <f t="shared" si="41"/>
        <v>3674.9279999999999</v>
      </c>
      <c r="DK43" s="546">
        <f t="shared" si="42"/>
        <v>2779.4459999999999</v>
      </c>
      <c r="DL43" s="546">
        <f t="shared" si="43"/>
        <v>2779.4459999999999</v>
      </c>
      <c r="DM43" s="546">
        <f t="shared" si="44"/>
        <v>895.48199999999997</v>
      </c>
      <c r="DP43" s="544" t="s">
        <v>546</v>
      </c>
      <c r="DQ43" s="545">
        <v>200290876</v>
      </c>
      <c r="DR43" s="546">
        <f t="shared" si="45"/>
        <v>200290.87599999999</v>
      </c>
      <c r="DT43" s="544" t="s">
        <v>542</v>
      </c>
      <c r="DU43" s="545">
        <v>3674928</v>
      </c>
      <c r="DV43" s="545">
        <v>3129051</v>
      </c>
      <c r="DW43" s="545">
        <v>3129051</v>
      </c>
      <c r="DX43" s="545">
        <v>545877</v>
      </c>
      <c r="DY43" s="546">
        <f t="shared" si="46"/>
        <v>3674.9279999999999</v>
      </c>
      <c r="DZ43" s="546">
        <f t="shared" si="47"/>
        <v>3129.0509999999999</v>
      </c>
      <c r="EA43" s="546">
        <f t="shared" si="48"/>
        <v>3129.0509999999999</v>
      </c>
      <c r="EB43" s="546">
        <f t="shared" si="49"/>
        <v>545.87699999999995</v>
      </c>
      <c r="EE43" s="547" t="s">
        <v>361</v>
      </c>
      <c r="EF43" s="546">
        <v>79453723</v>
      </c>
      <c r="EG43" s="548">
        <f t="shared" si="50"/>
        <v>79453.722999999998</v>
      </c>
      <c r="EI43" s="547" t="s">
        <v>541</v>
      </c>
      <c r="EJ43" s="546">
        <v>40119065</v>
      </c>
      <c r="EK43" s="546">
        <v>39304803</v>
      </c>
      <c r="EL43" s="546">
        <v>39304803</v>
      </c>
      <c r="EM43" s="548">
        <f t="shared" si="51"/>
        <v>40119.065000000002</v>
      </c>
      <c r="EN43" s="548">
        <f t="shared" si="52"/>
        <v>39304.803</v>
      </c>
      <c r="EO43" s="548">
        <f t="shared" si="53"/>
        <v>39304.803</v>
      </c>
      <c r="ER43" s="544" t="s">
        <v>364</v>
      </c>
      <c r="ES43" s="545">
        <v>550158632</v>
      </c>
      <c r="ET43" s="546">
        <f t="shared" si="54"/>
        <v>550158.63199999998</v>
      </c>
      <c r="EW43" s="544" t="s">
        <v>541</v>
      </c>
      <c r="EX43" s="545">
        <v>0</v>
      </c>
      <c r="EY43" s="545">
        <v>40119065</v>
      </c>
      <c r="EZ43" s="545">
        <v>39304803</v>
      </c>
      <c r="FA43" s="545">
        <v>39304803</v>
      </c>
      <c r="FB43" s="545">
        <v>814262</v>
      </c>
      <c r="FC43" s="546">
        <f t="shared" si="55"/>
        <v>0</v>
      </c>
      <c r="FD43" s="546">
        <f t="shared" si="56"/>
        <v>40119.065000000002</v>
      </c>
      <c r="FE43" s="546">
        <f t="shared" si="57"/>
        <v>39304.803</v>
      </c>
      <c r="FF43" s="546">
        <f t="shared" si="58"/>
        <v>39304.803</v>
      </c>
      <c r="FG43" s="546">
        <f t="shared" si="59"/>
        <v>814.26199999999994</v>
      </c>
      <c r="FJ43" s="547" t="s">
        <v>544</v>
      </c>
      <c r="FK43" s="546">
        <v>59435398</v>
      </c>
      <c r="FL43" s="548">
        <f t="shared" si="60"/>
        <v>59435.398000000001</v>
      </c>
      <c r="FN43" s="549" t="s">
        <v>542</v>
      </c>
      <c r="FO43" s="550">
        <v>4188010</v>
      </c>
      <c r="FP43" s="550">
        <v>4186473</v>
      </c>
      <c r="FQ43" s="550">
        <v>4186473</v>
      </c>
      <c r="FR43" s="550">
        <f t="shared" si="61"/>
        <v>4188.01</v>
      </c>
      <c r="FS43" s="550">
        <f t="shared" si="62"/>
        <v>4186.473</v>
      </c>
      <c r="FT43" s="550">
        <f t="shared" si="63"/>
        <v>4186.473</v>
      </c>
    </row>
    <row r="44" spans="1:176" ht="15" customHeight="1" x14ac:dyDescent="0.25">
      <c r="A44" s="890" t="s">
        <v>889</v>
      </c>
      <c r="B44" s="544" t="s">
        <v>355</v>
      </c>
      <c r="C44" s="545">
        <v>0</v>
      </c>
      <c r="D44" s="545">
        <v>578580000</v>
      </c>
      <c r="E44" s="545">
        <v>38501917</v>
      </c>
      <c r="F44" s="545">
        <v>540078083</v>
      </c>
      <c r="G44" s="545">
        <v>38501917</v>
      </c>
      <c r="H44" s="546">
        <f t="shared" si="10"/>
        <v>602880.36</v>
      </c>
      <c r="I44" s="546">
        <f t="shared" si="11"/>
        <v>40118.997514000002</v>
      </c>
      <c r="J44" s="546">
        <f t="shared" si="12"/>
        <v>562761.36248600006</v>
      </c>
      <c r="K44" s="546">
        <f t="shared" si="13"/>
        <v>40118.997514000002</v>
      </c>
      <c r="O44" s="544" t="s">
        <v>365</v>
      </c>
      <c r="P44" s="545">
        <v>6186334</v>
      </c>
      <c r="Q44" s="546">
        <f t="shared" si="14"/>
        <v>6446.1600280000002</v>
      </c>
      <c r="S44" s="544" t="s">
        <v>355</v>
      </c>
      <c r="T44" s="545">
        <v>578580000</v>
      </c>
      <c r="U44" s="545">
        <v>85328805</v>
      </c>
      <c r="V44" s="545">
        <v>85328805</v>
      </c>
      <c r="W44" s="545">
        <v>493251195</v>
      </c>
      <c r="X44" s="546">
        <f t="shared" si="15"/>
        <v>602880.36</v>
      </c>
      <c r="Y44" s="546">
        <f t="shared" si="16"/>
        <v>88912.614809999999</v>
      </c>
      <c r="Z44" s="546">
        <f t="shared" si="17"/>
        <v>88912.614809999999</v>
      </c>
      <c r="AA44" s="546">
        <f t="shared" si="18"/>
        <v>513967.74519000005</v>
      </c>
      <c r="AC44" s="544" t="s">
        <v>547</v>
      </c>
      <c r="AD44" s="545">
        <v>19939399</v>
      </c>
      <c r="AE44" s="546">
        <f t="shared" si="19"/>
        <v>19939.399000000001</v>
      </c>
      <c r="AG44" s="544" t="s">
        <v>826</v>
      </c>
      <c r="AH44" s="545">
        <v>110070000</v>
      </c>
      <c r="AI44" s="545">
        <v>0</v>
      </c>
      <c r="AJ44" s="545">
        <v>0</v>
      </c>
      <c r="AK44" s="545">
        <v>110070000</v>
      </c>
      <c r="AL44" s="545">
        <f t="shared" si="20"/>
        <v>110070</v>
      </c>
      <c r="AM44" s="545">
        <f t="shared" si="21"/>
        <v>0</v>
      </c>
      <c r="AN44" s="545">
        <f t="shared" si="22"/>
        <v>0</v>
      </c>
      <c r="AO44" s="545">
        <f t="shared" si="23"/>
        <v>110070</v>
      </c>
      <c r="AR44" s="544" t="s">
        <v>550</v>
      </c>
      <c r="AS44" s="545">
        <v>85856529</v>
      </c>
      <c r="AT44" s="545">
        <f t="shared" si="24"/>
        <v>85856.528999999995</v>
      </c>
      <c r="AV44" s="544" t="s">
        <v>826</v>
      </c>
      <c r="AW44" s="545">
        <v>110070000</v>
      </c>
      <c r="AX44" s="545">
        <v>0</v>
      </c>
      <c r="AY44" s="545">
        <v>0</v>
      </c>
      <c r="AZ44" s="545">
        <v>110070000</v>
      </c>
      <c r="BA44" s="546">
        <f t="shared" si="25"/>
        <v>110070</v>
      </c>
      <c r="BB44" s="546">
        <f t="shared" si="26"/>
        <v>0</v>
      </c>
      <c r="BC44" s="546">
        <f t="shared" si="27"/>
        <v>0</v>
      </c>
      <c r="BD44" s="546">
        <f t="shared" si="28"/>
        <v>110070</v>
      </c>
      <c r="BG44" s="544" t="s">
        <v>367</v>
      </c>
      <c r="BH44" s="545">
        <v>2859421</v>
      </c>
      <c r="BI44" s="545">
        <f t="shared" si="29"/>
        <v>2859.4209999999998</v>
      </c>
      <c r="BK44" s="544" t="s">
        <v>826</v>
      </c>
      <c r="BL44" s="545">
        <v>110070000</v>
      </c>
      <c r="BM44" s="545">
        <v>0</v>
      </c>
      <c r="BN44" s="545">
        <v>0</v>
      </c>
      <c r="BO44" s="545">
        <v>110070000</v>
      </c>
      <c r="BP44" s="545">
        <f t="shared" si="30"/>
        <v>110070</v>
      </c>
      <c r="BQ44" s="545">
        <f t="shared" si="31"/>
        <v>0</v>
      </c>
      <c r="BR44" s="545">
        <f t="shared" si="32"/>
        <v>0</v>
      </c>
      <c r="BS44" s="545">
        <f t="shared" si="33"/>
        <v>110070</v>
      </c>
      <c r="BV44" s="544" t="s">
        <v>356</v>
      </c>
      <c r="BW44" s="545">
        <v>187471674</v>
      </c>
      <c r="BX44" s="546">
        <f t="shared" si="34"/>
        <v>187471.674</v>
      </c>
      <c r="BZ44" s="544" t="s">
        <v>826</v>
      </c>
      <c r="CA44" s="545">
        <v>110070000</v>
      </c>
      <c r="CB44" s="545">
        <v>0</v>
      </c>
      <c r="CC44" s="545">
        <v>0</v>
      </c>
      <c r="CD44" s="545">
        <v>110070000</v>
      </c>
      <c r="CE44" s="545">
        <f t="shared" si="35"/>
        <v>110070</v>
      </c>
      <c r="CF44" s="545">
        <f t="shared" si="36"/>
        <v>0</v>
      </c>
      <c r="CG44" s="545">
        <f t="shared" si="37"/>
        <v>0</v>
      </c>
      <c r="CH44" s="545">
        <f t="shared" si="38"/>
        <v>110070</v>
      </c>
      <c r="CK44" s="547" t="s">
        <v>356</v>
      </c>
      <c r="CL44" s="546">
        <v>224129</v>
      </c>
      <c r="CM44" s="546">
        <f t="shared" si="39"/>
        <v>224.12899999999999</v>
      </c>
      <c r="CP44" s="547" t="s">
        <v>826</v>
      </c>
      <c r="CQ44" s="546">
        <v>110070000</v>
      </c>
      <c r="CR44" s="546">
        <v>0</v>
      </c>
      <c r="CS44" s="546">
        <v>0</v>
      </c>
      <c r="CT44" s="546">
        <v>110070000</v>
      </c>
      <c r="CU44" s="546">
        <f t="shared" si="64"/>
        <v>110070</v>
      </c>
      <c r="CV44" s="546">
        <f t="shared" si="65"/>
        <v>0</v>
      </c>
      <c r="CW44" s="546">
        <f t="shared" si="66"/>
        <v>0</v>
      </c>
      <c r="CX44" s="546">
        <f t="shared" si="67"/>
        <v>110070</v>
      </c>
      <c r="CZ44" s="547" t="s">
        <v>356</v>
      </c>
      <c r="DA44" s="546">
        <v>-6765</v>
      </c>
      <c r="DB44" s="546">
        <f t="shared" si="40"/>
        <v>-6.7649999999999997</v>
      </c>
      <c r="DE44" s="544" t="s">
        <v>826</v>
      </c>
      <c r="DF44" s="545">
        <v>110070000</v>
      </c>
      <c r="DG44" s="545">
        <v>0</v>
      </c>
      <c r="DH44" s="545">
        <v>0</v>
      </c>
      <c r="DI44" s="545">
        <v>110070000</v>
      </c>
      <c r="DJ44" s="546">
        <f t="shared" si="41"/>
        <v>110070</v>
      </c>
      <c r="DK44" s="546">
        <f t="shared" si="42"/>
        <v>0</v>
      </c>
      <c r="DL44" s="546">
        <f t="shared" si="43"/>
        <v>0</v>
      </c>
      <c r="DM44" s="546">
        <f t="shared" si="44"/>
        <v>110070</v>
      </c>
      <c r="DP44" s="544" t="s">
        <v>356</v>
      </c>
      <c r="DQ44" s="545">
        <v>186056563</v>
      </c>
      <c r="DR44" s="546">
        <f t="shared" si="45"/>
        <v>186056.56299999999</v>
      </c>
      <c r="DT44" s="544" t="s">
        <v>826</v>
      </c>
      <c r="DU44" s="545">
        <v>110070000</v>
      </c>
      <c r="DV44" s="545">
        <v>0</v>
      </c>
      <c r="DW44" s="545">
        <v>0</v>
      </c>
      <c r="DX44" s="545">
        <v>110070000</v>
      </c>
      <c r="DY44" s="546">
        <f t="shared" si="46"/>
        <v>110070</v>
      </c>
      <c r="DZ44" s="546">
        <f t="shared" si="47"/>
        <v>0</v>
      </c>
      <c r="EA44" s="546">
        <f t="shared" si="48"/>
        <v>0</v>
      </c>
      <c r="EB44" s="546">
        <f t="shared" si="49"/>
        <v>110070</v>
      </c>
      <c r="EE44" s="547" t="s">
        <v>549</v>
      </c>
      <c r="EF44" s="546">
        <v>76103907</v>
      </c>
      <c r="EG44" s="548">
        <f t="shared" si="50"/>
        <v>76103.907000000007</v>
      </c>
      <c r="EI44" s="547" t="s">
        <v>542</v>
      </c>
      <c r="EJ44" s="546">
        <v>3674928</v>
      </c>
      <c r="EK44" s="546">
        <v>3478312</v>
      </c>
      <c r="EL44" s="546">
        <v>3478312</v>
      </c>
      <c r="EM44" s="548">
        <f t="shared" si="51"/>
        <v>3674.9279999999999</v>
      </c>
      <c r="EN44" s="548">
        <f t="shared" si="52"/>
        <v>3478.3119999999999</v>
      </c>
      <c r="EO44" s="548">
        <f t="shared" si="53"/>
        <v>3478.3119999999999</v>
      </c>
      <c r="ER44" s="544" t="s">
        <v>365</v>
      </c>
      <c r="ES44" s="545">
        <v>1050509</v>
      </c>
      <c r="ET44" s="546">
        <f t="shared" si="54"/>
        <v>1050.509</v>
      </c>
      <c r="EW44" s="544" t="s">
        <v>542</v>
      </c>
      <c r="EX44" s="545">
        <v>0</v>
      </c>
      <c r="EY44" s="545">
        <v>4074928</v>
      </c>
      <c r="EZ44" s="545">
        <v>3827917</v>
      </c>
      <c r="FA44" s="545">
        <v>3827917</v>
      </c>
      <c r="FB44" s="545">
        <v>247011</v>
      </c>
      <c r="FC44" s="546">
        <f t="shared" si="55"/>
        <v>0</v>
      </c>
      <c r="FD44" s="546">
        <f t="shared" si="56"/>
        <v>4074.9279999999999</v>
      </c>
      <c r="FE44" s="546">
        <f t="shared" si="57"/>
        <v>3827.9169999999999</v>
      </c>
      <c r="FF44" s="546">
        <f t="shared" si="58"/>
        <v>3827.9169999999999</v>
      </c>
      <c r="FG44" s="546">
        <f t="shared" si="59"/>
        <v>247.011</v>
      </c>
      <c r="FJ44" s="547" t="s">
        <v>545</v>
      </c>
      <c r="FK44" s="546">
        <v>387130965</v>
      </c>
      <c r="FL44" s="548">
        <f t="shared" si="60"/>
        <v>387130.96500000003</v>
      </c>
      <c r="FN44" s="549" t="s">
        <v>355</v>
      </c>
      <c r="FO44" s="550">
        <v>611430839</v>
      </c>
      <c r="FP44" s="550">
        <v>611340542</v>
      </c>
      <c r="FQ44" s="550">
        <v>611340542</v>
      </c>
      <c r="FR44" s="550">
        <f t="shared" si="61"/>
        <v>611430.83900000004</v>
      </c>
      <c r="FS44" s="550">
        <f t="shared" si="62"/>
        <v>611340.54200000002</v>
      </c>
      <c r="FT44" s="550">
        <f t="shared" si="63"/>
        <v>611340.54200000002</v>
      </c>
    </row>
    <row r="45" spans="1:176" ht="15" customHeight="1" x14ac:dyDescent="0.25">
      <c r="A45" s="890" t="s">
        <v>890</v>
      </c>
      <c r="B45" s="544" t="s">
        <v>543</v>
      </c>
      <c r="C45" s="545">
        <v>0</v>
      </c>
      <c r="D45" s="545">
        <v>42160000</v>
      </c>
      <c r="E45" s="545">
        <v>0</v>
      </c>
      <c r="F45" s="545">
        <v>42160000</v>
      </c>
      <c r="G45" s="545">
        <v>0</v>
      </c>
      <c r="H45" s="546">
        <f t="shared" si="10"/>
        <v>43930.720000000001</v>
      </c>
      <c r="I45" s="546">
        <f t="shared" si="11"/>
        <v>0</v>
      </c>
      <c r="J45" s="546">
        <f t="shared" si="12"/>
        <v>43930.720000000001</v>
      </c>
      <c r="K45" s="546">
        <f t="shared" si="13"/>
        <v>0</v>
      </c>
      <c r="O45" s="544" t="s">
        <v>552</v>
      </c>
      <c r="P45" s="545">
        <v>618205</v>
      </c>
      <c r="Q45" s="546">
        <f t="shared" si="14"/>
        <v>644.16961000000003</v>
      </c>
      <c r="S45" s="544" t="s">
        <v>543</v>
      </c>
      <c r="T45" s="545">
        <v>42160000</v>
      </c>
      <c r="U45" s="545">
        <v>8019053</v>
      </c>
      <c r="V45" s="545">
        <v>8019053</v>
      </c>
      <c r="W45" s="545">
        <v>34140947</v>
      </c>
      <c r="X45" s="546">
        <f t="shared" si="15"/>
        <v>43930.720000000001</v>
      </c>
      <c r="Y45" s="546">
        <f t="shared" si="16"/>
        <v>8355.8532260000011</v>
      </c>
      <c r="Z45" s="546">
        <f t="shared" si="17"/>
        <v>8355.8532260000011</v>
      </c>
      <c r="AA45" s="546">
        <f t="shared" si="18"/>
        <v>35574.866774000002</v>
      </c>
      <c r="AC45" s="544" t="s">
        <v>548</v>
      </c>
      <c r="AD45" s="545">
        <v>3430789</v>
      </c>
      <c r="AE45" s="546">
        <f t="shared" si="19"/>
        <v>3430.7890000000002</v>
      </c>
      <c r="AG45" s="544" t="s">
        <v>355</v>
      </c>
      <c r="AH45" s="545">
        <v>578580000</v>
      </c>
      <c r="AI45" s="545">
        <v>141140512</v>
      </c>
      <c r="AJ45" s="545">
        <v>141140512</v>
      </c>
      <c r="AK45" s="545">
        <v>437439488</v>
      </c>
      <c r="AL45" s="545">
        <f t="shared" si="20"/>
        <v>578580</v>
      </c>
      <c r="AM45" s="545">
        <f t="shared" si="21"/>
        <v>141140.51199999999</v>
      </c>
      <c r="AN45" s="545">
        <f t="shared" si="22"/>
        <v>141140.51199999999</v>
      </c>
      <c r="AO45" s="545">
        <f t="shared" si="23"/>
        <v>437439.48800000001</v>
      </c>
      <c r="AR45" s="544" t="s">
        <v>551</v>
      </c>
      <c r="AS45" s="545">
        <v>3446295</v>
      </c>
      <c r="AT45" s="545">
        <f t="shared" si="24"/>
        <v>3446.2950000000001</v>
      </c>
      <c r="AV45" s="544" t="s">
        <v>355</v>
      </c>
      <c r="AW45" s="545">
        <v>578580000</v>
      </c>
      <c r="AX45" s="545">
        <v>184793720</v>
      </c>
      <c r="AY45" s="545">
        <v>184793720</v>
      </c>
      <c r="AZ45" s="545">
        <v>393786280</v>
      </c>
      <c r="BA45" s="546">
        <f t="shared" si="25"/>
        <v>578580</v>
      </c>
      <c r="BB45" s="546">
        <f t="shared" si="26"/>
        <v>184793.72</v>
      </c>
      <c r="BC45" s="546">
        <f t="shared" si="27"/>
        <v>184793.72</v>
      </c>
      <c r="BD45" s="546">
        <f t="shared" si="28"/>
        <v>393786.28</v>
      </c>
      <c r="BG45" s="544" t="s">
        <v>368</v>
      </c>
      <c r="BH45" s="545">
        <v>46118</v>
      </c>
      <c r="BI45" s="545">
        <f t="shared" si="29"/>
        <v>46.118000000000002</v>
      </c>
      <c r="BK45" s="544" t="s">
        <v>355</v>
      </c>
      <c r="BL45" s="545">
        <v>578580000</v>
      </c>
      <c r="BM45" s="545">
        <v>228413289</v>
      </c>
      <c r="BN45" s="545">
        <v>228413289</v>
      </c>
      <c r="BO45" s="545">
        <v>350166711</v>
      </c>
      <c r="BP45" s="545">
        <f t="shared" si="30"/>
        <v>578580</v>
      </c>
      <c r="BQ45" s="545">
        <f t="shared" si="31"/>
        <v>228413.28899999999</v>
      </c>
      <c r="BR45" s="545">
        <f t="shared" si="32"/>
        <v>228413.28899999999</v>
      </c>
      <c r="BS45" s="545">
        <f t="shared" si="33"/>
        <v>350166.71100000001</v>
      </c>
      <c r="BV45" s="544" t="s">
        <v>357</v>
      </c>
      <c r="BW45" s="545">
        <v>38428054</v>
      </c>
      <c r="BX45" s="546">
        <f t="shared" si="34"/>
        <v>38428.053999999996</v>
      </c>
      <c r="BZ45" s="544" t="s">
        <v>355</v>
      </c>
      <c r="CA45" s="545">
        <v>578580000</v>
      </c>
      <c r="CB45" s="545">
        <v>290059637</v>
      </c>
      <c r="CC45" s="545">
        <v>290059637</v>
      </c>
      <c r="CD45" s="545">
        <v>288520363</v>
      </c>
      <c r="CE45" s="545">
        <f t="shared" si="35"/>
        <v>578580</v>
      </c>
      <c r="CF45" s="545">
        <f t="shared" si="36"/>
        <v>290059.63699999999</v>
      </c>
      <c r="CG45" s="545">
        <f t="shared" si="37"/>
        <v>290059.63699999999</v>
      </c>
      <c r="CH45" s="545">
        <f t="shared" si="38"/>
        <v>288520.36300000001</v>
      </c>
      <c r="CK45" s="547" t="s">
        <v>357</v>
      </c>
      <c r="CL45" s="546">
        <v>34395156</v>
      </c>
      <c r="CM45" s="546">
        <f t="shared" si="39"/>
        <v>34395.156000000003</v>
      </c>
      <c r="CP45" s="547" t="s">
        <v>355</v>
      </c>
      <c r="CQ45" s="546">
        <v>578580000</v>
      </c>
      <c r="CR45" s="546">
        <v>339590375</v>
      </c>
      <c r="CS45" s="546">
        <v>339590375</v>
      </c>
      <c r="CT45" s="546">
        <v>238989625</v>
      </c>
      <c r="CU45" s="546">
        <f t="shared" si="64"/>
        <v>578580</v>
      </c>
      <c r="CV45" s="546">
        <f t="shared" si="65"/>
        <v>339590.375</v>
      </c>
      <c r="CW45" s="546">
        <f t="shared" si="66"/>
        <v>339590.375</v>
      </c>
      <c r="CX45" s="546">
        <f t="shared" si="67"/>
        <v>238989.625</v>
      </c>
      <c r="CZ45" s="547" t="s">
        <v>357</v>
      </c>
      <c r="DA45" s="546">
        <v>38573372</v>
      </c>
      <c r="DB45" s="546">
        <f t="shared" si="40"/>
        <v>38573.372000000003</v>
      </c>
      <c r="DE45" s="544" t="s">
        <v>355</v>
      </c>
      <c r="DF45" s="545">
        <v>578580000</v>
      </c>
      <c r="DG45" s="545">
        <v>389087145</v>
      </c>
      <c r="DH45" s="545">
        <v>389087145</v>
      </c>
      <c r="DI45" s="545">
        <v>189492855</v>
      </c>
      <c r="DJ45" s="546">
        <f t="shared" si="41"/>
        <v>578580</v>
      </c>
      <c r="DK45" s="546">
        <f t="shared" si="42"/>
        <v>389087.14500000002</v>
      </c>
      <c r="DL45" s="546">
        <f t="shared" si="43"/>
        <v>389087.14500000002</v>
      </c>
      <c r="DM45" s="546">
        <f t="shared" si="44"/>
        <v>189492.85500000001</v>
      </c>
      <c r="DP45" s="544" t="s">
        <v>357</v>
      </c>
      <c r="DQ45" s="545">
        <v>31388015</v>
      </c>
      <c r="DR45" s="546">
        <f t="shared" si="45"/>
        <v>31388.014999999999</v>
      </c>
      <c r="DT45" s="544" t="s">
        <v>355</v>
      </c>
      <c r="DU45" s="545">
        <v>578580000</v>
      </c>
      <c r="DV45" s="545">
        <v>459022035</v>
      </c>
      <c r="DW45" s="545">
        <v>459022035</v>
      </c>
      <c r="DX45" s="545">
        <v>119557965</v>
      </c>
      <c r="DY45" s="546">
        <f t="shared" si="46"/>
        <v>578580</v>
      </c>
      <c r="DZ45" s="546">
        <f t="shared" si="47"/>
        <v>459022.03499999997</v>
      </c>
      <c r="EA45" s="546">
        <f t="shared" si="48"/>
        <v>459022.03499999997</v>
      </c>
      <c r="EB45" s="546">
        <f t="shared" si="49"/>
        <v>119557.965</v>
      </c>
      <c r="EE45" s="547" t="s">
        <v>550</v>
      </c>
      <c r="EF45" s="546">
        <v>75269109</v>
      </c>
      <c r="EG45" s="548">
        <f t="shared" si="50"/>
        <v>75269.108999999997</v>
      </c>
      <c r="EI45" s="547" t="s">
        <v>826</v>
      </c>
      <c r="EJ45" s="546">
        <v>110070000</v>
      </c>
      <c r="EK45" s="546">
        <v>0</v>
      </c>
      <c r="EL45" s="546">
        <v>0</v>
      </c>
      <c r="EM45" s="548">
        <f t="shared" si="51"/>
        <v>110070</v>
      </c>
      <c r="EN45" s="548">
        <f t="shared" si="52"/>
        <v>0</v>
      </c>
      <c r="EO45" s="548">
        <f t="shared" si="53"/>
        <v>0</v>
      </c>
      <c r="ER45" s="544" t="s">
        <v>552</v>
      </c>
      <c r="ES45" s="545">
        <v>1050509</v>
      </c>
      <c r="ET45" s="546">
        <f t="shared" si="54"/>
        <v>1050.509</v>
      </c>
      <c r="EW45" s="544" t="s">
        <v>826</v>
      </c>
      <c r="EX45" s="545">
        <v>0</v>
      </c>
      <c r="EY45" s="545">
        <v>110070000</v>
      </c>
      <c r="EZ45" s="545">
        <v>0</v>
      </c>
      <c r="FA45" s="545">
        <v>0</v>
      </c>
      <c r="FB45" s="545">
        <v>110070000</v>
      </c>
      <c r="FC45" s="546">
        <f t="shared" si="55"/>
        <v>0</v>
      </c>
      <c r="FD45" s="546">
        <f t="shared" si="56"/>
        <v>110070</v>
      </c>
      <c r="FE45" s="546">
        <f t="shared" si="57"/>
        <v>0</v>
      </c>
      <c r="FF45" s="546">
        <f t="shared" si="58"/>
        <v>0</v>
      </c>
      <c r="FG45" s="546">
        <f t="shared" si="59"/>
        <v>110070</v>
      </c>
      <c r="FJ45" s="547" t="s">
        <v>546</v>
      </c>
      <c r="FK45" s="546">
        <v>201318120</v>
      </c>
      <c r="FL45" s="548">
        <f t="shared" si="60"/>
        <v>201318.12</v>
      </c>
      <c r="FN45" s="549" t="s">
        <v>543</v>
      </c>
      <c r="FO45" s="550">
        <v>45228619</v>
      </c>
      <c r="FP45" s="550">
        <v>45228619</v>
      </c>
      <c r="FQ45" s="550">
        <v>45228619</v>
      </c>
      <c r="FR45" s="550">
        <f t="shared" si="61"/>
        <v>45228.618999999999</v>
      </c>
      <c r="FS45" s="550">
        <f t="shared" si="62"/>
        <v>45228.618999999999</v>
      </c>
      <c r="FT45" s="550">
        <f t="shared" si="63"/>
        <v>45228.618999999999</v>
      </c>
    </row>
    <row r="46" spans="1:176" ht="15" customHeight="1" x14ac:dyDescent="0.25">
      <c r="A46" s="890" t="s">
        <v>890</v>
      </c>
      <c r="B46" s="544" t="s">
        <v>544</v>
      </c>
      <c r="C46" s="545">
        <v>0</v>
      </c>
      <c r="D46" s="545">
        <v>536420000</v>
      </c>
      <c r="E46" s="545">
        <v>38501917</v>
      </c>
      <c r="F46" s="545">
        <v>497918083</v>
      </c>
      <c r="G46" s="545">
        <v>38501917</v>
      </c>
      <c r="H46" s="546">
        <f t="shared" si="10"/>
        <v>558949.64</v>
      </c>
      <c r="I46" s="546">
        <f t="shared" si="11"/>
        <v>40118.997514000002</v>
      </c>
      <c r="J46" s="546">
        <f t="shared" si="12"/>
        <v>518830.64248600003</v>
      </c>
      <c r="K46" s="546">
        <f t="shared" si="13"/>
        <v>40118.997514000002</v>
      </c>
      <c r="O46" s="544" t="s">
        <v>366</v>
      </c>
      <c r="P46" s="545">
        <v>5568129</v>
      </c>
      <c r="Q46" s="546">
        <f t="shared" si="14"/>
        <v>5801.9904180000003</v>
      </c>
      <c r="S46" s="544" t="s">
        <v>544</v>
      </c>
      <c r="T46" s="545">
        <v>536420000</v>
      </c>
      <c r="U46" s="545">
        <v>77309752</v>
      </c>
      <c r="V46" s="545">
        <v>77309752</v>
      </c>
      <c r="W46" s="545">
        <v>459110248</v>
      </c>
      <c r="X46" s="546">
        <f t="shared" si="15"/>
        <v>558949.64</v>
      </c>
      <c r="Y46" s="546">
        <f t="shared" si="16"/>
        <v>80556.761583999993</v>
      </c>
      <c r="Z46" s="546">
        <f t="shared" si="17"/>
        <v>80556.761583999993</v>
      </c>
      <c r="AA46" s="546">
        <f t="shared" si="18"/>
        <v>478392.87841600005</v>
      </c>
      <c r="AC46" s="544" t="s">
        <v>585</v>
      </c>
      <c r="AD46" s="545">
        <v>8584655</v>
      </c>
      <c r="AE46" s="546">
        <f t="shared" si="19"/>
        <v>8584.6550000000007</v>
      </c>
      <c r="AG46" s="544" t="s">
        <v>543</v>
      </c>
      <c r="AH46" s="545">
        <v>42160000</v>
      </c>
      <c r="AI46" s="545">
        <v>8019053</v>
      </c>
      <c r="AJ46" s="545">
        <v>8019053</v>
      </c>
      <c r="AK46" s="545">
        <v>34140947</v>
      </c>
      <c r="AL46" s="545">
        <f t="shared" si="20"/>
        <v>42160</v>
      </c>
      <c r="AM46" s="545">
        <f t="shared" si="21"/>
        <v>8019.0529999999999</v>
      </c>
      <c r="AN46" s="545">
        <f t="shared" si="22"/>
        <v>8019.0529999999999</v>
      </c>
      <c r="AO46" s="545">
        <f t="shared" si="23"/>
        <v>34140.947</v>
      </c>
      <c r="AR46" s="544" t="s">
        <v>362</v>
      </c>
      <c r="AS46" s="545">
        <v>10997848</v>
      </c>
      <c r="AT46" s="545">
        <f t="shared" si="24"/>
        <v>10997.848</v>
      </c>
      <c r="AV46" s="544" t="s">
        <v>543</v>
      </c>
      <c r="AW46" s="545">
        <v>42160000</v>
      </c>
      <c r="AX46" s="545">
        <v>12108335</v>
      </c>
      <c r="AY46" s="545">
        <v>12108335</v>
      </c>
      <c r="AZ46" s="545">
        <v>30051665</v>
      </c>
      <c r="BA46" s="546">
        <f t="shared" si="25"/>
        <v>42160</v>
      </c>
      <c r="BB46" s="546">
        <f t="shared" si="26"/>
        <v>12108.334999999999</v>
      </c>
      <c r="BC46" s="546">
        <f t="shared" si="27"/>
        <v>12108.334999999999</v>
      </c>
      <c r="BD46" s="546">
        <f t="shared" si="28"/>
        <v>30051.665000000001</v>
      </c>
      <c r="BG46" s="544" t="s">
        <v>369</v>
      </c>
      <c r="BH46" s="545">
        <v>159040</v>
      </c>
      <c r="BI46" s="545">
        <f t="shared" si="29"/>
        <v>159.04</v>
      </c>
      <c r="BK46" s="544" t="s">
        <v>543</v>
      </c>
      <c r="BL46" s="545">
        <v>42160000</v>
      </c>
      <c r="BM46" s="545">
        <v>16197617</v>
      </c>
      <c r="BN46" s="545">
        <v>16197617</v>
      </c>
      <c r="BO46" s="545">
        <v>25962383</v>
      </c>
      <c r="BP46" s="545">
        <f t="shared" si="30"/>
        <v>42160</v>
      </c>
      <c r="BQ46" s="545">
        <f t="shared" si="31"/>
        <v>16197.617</v>
      </c>
      <c r="BR46" s="545">
        <f t="shared" si="32"/>
        <v>16197.617</v>
      </c>
      <c r="BS46" s="545">
        <f t="shared" si="33"/>
        <v>25962.383000000002</v>
      </c>
      <c r="BV46" s="544" t="s">
        <v>547</v>
      </c>
      <c r="BW46" s="545">
        <v>22000018</v>
      </c>
      <c r="BX46" s="546">
        <f t="shared" si="34"/>
        <v>22000.018</v>
      </c>
      <c r="BZ46" s="544" t="s">
        <v>543</v>
      </c>
      <c r="CA46" s="545">
        <v>42160000</v>
      </c>
      <c r="CB46" s="545">
        <v>20257897</v>
      </c>
      <c r="CC46" s="545">
        <v>20257897</v>
      </c>
      <c r="CD46" s="545">
        <v>21902103</v>
      </c>
      <c r="CE46" s="545">
        <f t="shared" si="35"/>
        <v>42160</v>
      </c>
      <c r="CF46" s="545">
        <f t="shared" si="36"/>
        <v>20257.897000000001</v>
      </c>
      <c r="CG46" s="545">
        <f t="shared" si="37"/>
        <v>20257.897000000001</v>
      </c>
      <c r="CH46" s="545">
        <f t="shared" si="38"/>
        <v>21902.102999999999</v>
      </c>
      <c r="CK46" s="547" t="s">
        <v>547</v>
      </c>
      <c r="CL46" s="546">
        <v>21162489</v>
      </c>
      <c r="CM46" s="546">
        <f t="shared" si="39"/>
        <v>21162.489000000001</v>
      </c>
      <c r="CP46" s="547" t="s">
        <v>543</v>
      </c>
      <c r="CQ46" s="546">
        <v>42160000</v>
      </c>
      <c r="CR46" s="546">
        <v>24390682</v>
      </c>
      <c r="CS46" s="546">
        <v>24390682</v>
      </c>
      <c r="CT46" s="546">
        <v>17769318</v>
      </c>
      <c r="CU46" s="546">
        <f t="shared" si="64"/>
        <v>42160</v>
      </c>
      <c r="CV46" s="546">
        <f t="shared" si="65"/>
        <v>24390.682000000001</v>
      </c>
      <c r="CW46" s="546">
        <f t="shared" si="66"/>
        <v>24390.682000000001</v>
      </c>
      <c r="CX46" s="546">
        <f t="shared" si="67"/>
        <v>17769.317999999999</v>
      </c>
      <c r="CZ46" s="547" t="s">
        <v>547</v>
      </c>
      <c r="DA46" s="546">
        <v>20950065</v>
      </c>
      <c r="DB46" s="546">
        <f t="shared" si="40"/>
        <v>20950.064999999999</v>
      </c>
      <c r="DE46" s="544" t="s">
        <v>543</v>
      </c>
      <c r="DF46" s="545">
        <v>42160000</v>
      </c>
      <c r="DG46" s="545">
        <v>28523467</v>
      </c>
      <c r="DH46" s="545">
        <v>28523467</v>
      </c>
      <c r="DI46" s="545">
        <v>13636533</v>
      </c>
      <c r="DJ46" s="546">
        <f t="shared" si="41"/>
        <v>42160</v>
      </c>
      <c r="DK46" s="546">
        <f t="shared" si="42"/>
        <v>28523.467000000001</v>
      </c>
      <c r="DL46" s="546">
        <f t="shared" si="43"/>
        <v>28523.467000000001</v>
      </c>
      <c r="DM46" s="546">
        <f t="shared" si="44"/>
        <v>13636.532999999999</v>
      </c>
      <c r="DP46" s="544" t="s">
        <v>547</v>
      </c>
      <c r="DQ46" s="545">
        <v>20756830</v>
      </c>
      <c r="DR46" s="546">
        <f t="shared" si="45"/>
        <v>20756.830000000002</v>
      </c>
      <c r="DT46" s="544" t="s">
        <v>543</v>
      </c>
      <c r="DU46" s="545">
        <v>42160000</v>
      </c>
      <c r="DV46" s="545">
        <v>32641751</v>
      </c>
      <c r="DW46" s="545">
        <v>32641751</v>
      </c>
      <c r="DX46" s="545">
        <v>9518249</v>
      </c>
      <c r="DY46" s="546">
        <f t="shared" si="46"/>
        <v>42160</v>
      </c>
      <c r="DZ46" s="546">
        <f t="shared" si="47"/>
        <v>32641.751</v>
      </c>
      <c r="EA46" s="546">
        <f t="shared" si="48"/>
        <v>32641.751</v>
      </c>
      <c r="EB46" s="546">
        <f t="shared" si="49"/>
        <v>9518.2489999999998</v>
      </c>
      <c r="EE46" s="547" t="s">
        <v>551</v>
      </c>
      <c r="EF46" s="546">
        <v>834798</v>
      </c>
      <c r="EG46" s="548">
        <f t="shared" si="50"/>
        <v>834.798</v>
      </c>
      <c r="EI46" s="547" t="s">
        <v>355</v>
      </c>
      <c r="EJ46" s="546">
        <v>578580000</v>
      </c>
      <c r="EK46" s="546">
        <v>503295980</v>
      </c>
      <c r="EL46" s="546">
        <v>503295980</v>
      </c>
      <c r="EM46" s="548">
        <f t="shared" si="51"/>
        <v>578580</v>
      </c>
      <c r="EN46" s="548">
        <f t="shared" si="52"/>
        <v>503295.98</v>
      </c>
      <c r="EO46" s="548">
        <f t="shared" si="53"/>
        <v>503295.98</v>
      </c>
      <c r="ER46" s="544" t="s">
        <v>479</v>
      </c>
      <c r="ES46" s="545">
        <v>30000000</v>
      </c>
      <c r="ET46" s="546">
        <f t="shared" si="54"/>
        <v>30000</v>
      </c>
      <c r="EW46" s="544" t="s">
        <v>355</v>
      </c>
      <c r="EX46" s="545">
        <v>0</v>
      </c>
      <c r="EY46" s="545">
        <v>578580000</v>
      </c>
      <c r="EZ46" s="545">
        <v>547685353</v>
      </c>
      <c r="FA46" s="545">
        <v>547685353</v>
      </c>
      <c r="FB46" s="545">
        <v>30894647</v>
      </c>
      <c r="FC46" s="546">
        <f t="shared" si="55"/>
        <v>0</v>
      </c>
      <c r="FD46" s="546">
        <f t="shared" si="56"/>
        <v>578580</v>
      </c>
      <c r="FE46" s="546">
        <f t="shared" si="57"/>
        <v>547685.353</v>
      </c>
      <c r="FF46" s="546">
        <f t="shared" si="58"/>
        <v>547685.353</v>
      </c>
      <c r="FG46" s="546">
        <f t="shared" si="59"/>
        <v>30894.647000000001</v>
      </c>
      <c r="FJ46" s="547" t="s">
        <v>356</v>
      </c>
      <c r="FK46" s="546">
        <v>185811111</v>
      </c>
      <c r="FL46" s="548">
        <f t="shared" si="60"/>
        <v>185811.111</v>
      </c>
      <c r="FN46" s="549" t="s">
        <v>544</v>
      </c>
      <c r="FO46" s="550">
        <v>566202220</v>
      </c>
      <c r="FP46" s="550">
        <v>566111923</v>
      </c>
      <c r="FQ46" s="550">
        <v>566111923</v>
      </c>
      <c r="FR46" s="550">
        <f t="shared" si="61"/>
        <v>566202.22</v>
      </c>
      <c r="FS46" s="550">
        <f t="shared" si="62"/>
        <v>566111.92299999995</v>
      </c>
      <c r="FT46" s="550">
        <f t="shared" si="63"/>
        <v>566111.92299999995</v>
      </c>
    </row>
    <row r="47" spans="1:176" ht="15" customHeight="1" x14ac:dyDescent="0.25">
      <c r="A47" s="890" t="s">
        <v>889</v>
      </c>
      <c r="B47" s="544" t="s">
        <v>545</v>
      </c>
      <c r="C47" s="545">
        <v>0</v>
      </c>
      <c r="D47" s="545">
        <v>1425280000</v>
      </c>
      <c r="E47" s="545">
        <v>0</v>
      </c>
      <c r="F47" s="545">
        <v>1425280000</v>
      </c>
      <c r="G47" s="545">
        <v>0</v>
      </c>
      <c r="H47" s="546">
        <f t="shared" si="10"/>
        <v>1485141.76</v>
      </c>
      <c r="I47" s="546">
        <f t="shared" si="11"/>
        <v>0</v>
      </c>
      <c r="J47" s="546">
        <f t="shared" si="12"/>
        <v>1485141.76</v>
      </c>
      <c r="K47" s="546">
        <f t="shared" si="13"/>
        <v>0</v>
      </c>
      <c r="O47" s="544" t="s">
        <v>367</v>
      </c>
      <c r="P47" s="545">
        <v>4226611</v>
      </c>
      <c r="Q47" s="546">
        <f t="shared" si="14"/>
        <v>4404.1286620000001</v>
      </c>
      <c r="S47" s="544" t="s">
        <v>545</v>
      </c>
      <c r="T47" s="545">
        <v>1425280000</v>
      </c>
      <c r="U47" s="545">
        <v>0</v>
      </c>
      <c r="V47" s="545">
        <v>0</v>
      </c>
      <c r="W47" s="545">
        <v>1425280000</v>
      </c>
      <c r="X47" s="546">
        <f t="shared" si="15"/>
        <v>1485141.76</v>
      </c>
      <c r="Y47" s="546">
        <f t="shared" si="16"/>
        <v>0</v>
      </c>
      <c r="Z47" s="546">
        <f t="shared" si="17"/>
        <v>0</v>
      </c>
      <c r="AA47" s="546">
        <f t="shared" si="18"/>
        <v>1485141.76</v>
      </c>
      <c r="AC47" s="544" t="s">
        <v>358</v>
      </c>
      <c r="AD47" s="545">
        <v>8854892</v>
      </c>
      <c r="AE47" s="546">
        <f t="shared" si="19"/>
        <v>8854.8919999999998</v>
      </c>
      <c r="AG47" s="544" t="s">
        <v>544</v>
      </c>
      <c r="AH47" s="545">
        <v>536420000</v>
      </c>
      <c r="AI47" s="545">
        <v>133121459</v>
      </c>
      <c r="AJ47" s="545">
        <v>133121459</v>
      </c>
      <c r="AK47" s="545">
        <v>403298541</v>
      </c>
      <c r="AL47" s="545">
        <f t="shared" si="20"/>
        <v>536420</v>
      </c>
      <c r="AM47" s="545">
        <f t="shared" si="21"/>
        <v>133121.459</v>
      </c>
      <c r="AN47" s="545">
        <f t="shared" si="22"/>
        <v>133121.459</v>
      </c>
      <c r="AO47" s="545">
        <f t="shared" si="23"/>
        <v>403298.54100000003</v>
      </c>
      <c r="AR47" s="544" t="s">
        <v>364</v>
      </c>
      <c r="AS47" s="545">
        <v>272454297</v>
      </c>
      <c r="AT47" s="545">
        <f t="shared" si="24"/>
        <v>272454.29700000002</v>
      </c>
      <c r="AV47" s="544" t="s">
        <v>544</v>
      </c>
      <c r="AW47" s="545">
        <v>536420000</v>
      </c>
      <c r="AX47" s="545">
        <v>172685385</v>
      </c>
      <c r="AY47" s="545">
        <v>172685385</v>
      </c>
      <c r="AZ47" s="545">
        <v>363734615</v>
      </c>
      <c r="BA47" s="546">
        <f t="shared" si="25"/>
        <v>536420</v>
      </c>
      <c r="BB47" s="546">
        <f t="shared" si="26"/>
        <v>172685.38500000001</v>
      </c>
      <c r="BC47" s="546">
        <f t="shared" si="27"/>
        <v>172685.38500000001</v>
      </c>
      <c r="BD47" s="546">
        <f t="shared" si="28"/>
        <v>363734.61499999999</v>
      </c>
      <c r="BG47" s="544" t="s">
        <v>555</v>
      </c>
      <c r="BH47" s="545">
        <v>1361360</v>
      </c>
      <c r="BI47" s="545">
        <f t="shared" si="29"/>
        <v>1361.36</v>
      </c>
      <c r="BK47" s="544" t="s">
        <v>544</v>
      </c>
      <c r="BL47" s="545">
        <v>536420000</v>
      </c>
      <c r="BM47" s="545">
        <v>212215672</v>
      </c>
      <c r="BN47" s="545">
        <v>212215672</v>
      </c>
      <c r="BO47" s="545">
        <v>324204328</v>
      </c>
      <c r="BP47" s="545">
        <f t="shared" si="30"/>
        <v>536420</v>
      </c>
      <c r="BQ47" s="545">
        <f t="shared" si="31"/>
        <v>212215.67199999999</v>
      </c>
      <c r="BR47" s="545">
        <f t="shared" si="32"/>
        <v>212215.67199999999</v>
      </c>
      <c r="BS47" s="545">
        <f t="shared" si="33"/>
        <v>324204.32799999998</v>
      </c>
      <c r="BV47" s="544" t="s">
        <v>548</v>
      </c>
      <c r="BW47" s="545">
        <v>3300773</v>
      </c>
      <c r="BX47" s="546">
        <f t="shared" si="34"/>
        <v>3300.7730000000001</v>
      </c>
      <c r="BZ47" s="544" t="s">
        <v>544</v>
      </c>
      <c r="CA47" s="545">
        <v>536420000</v>
      </c>
      <c r="CB47" s="545">
        <v>269801740</v>
      </c>
      <c r="CC47" s="545">
        <v>269801740</v>
      </c>
      <c r="CD47" s="545">
        <v>266618260</v>
      </c>
      <c r="CE47" s="545">
        <f t="shared" si="35"/>
        <v>536420</v>
      </c>
      <c r="CF47" s="545">
        <f t="shared" si="36"/>
        <v>269801.74</v>
      </c>
      <c r="CG47" s="545">
        <f t="shared" si="37"/>
        <v>269801.74</v>
      </c>
      <c r="CH47" s="545">
        <f t="shared" si="38"/>
        <v>266618.26</v>
      </c>
      <c r="CK47" s="547" t="s">
        <v>548</v>
      </c>
      <c r="CL47" s="546">
        <v>2863845</v>
      </c>
      <c r="CM47" s="546">
        <f t="shared" si="39"/>
        <v>2863.8449999999998</v>
      </c>
      <c r="CP47" s="547" t="s">
        <v>544</v>
      </c>
      <c r="CQ47" s="546">
        <v>536420000</v>
      </c>
      <c r="CR47" s="546">
        <v>315199693</v>
      </c>
      <c r="CS47" s="546">
        <v>315199693</v>
      </c>
      <c r="CT47" s="546">
        <v>221220307</v>
      </c>
      <c r="CU47" s="546">
        <f t="shared" si="64"/>
        <v>536420</v>
      </c>
      <c r="CV47" s="546">
        <f t="shared" si="65"/>
        <v>315199.69300000003</v>
      </c>
      <c r="CW47" s="546">
        <f t="shared" si="66"/>
        <v>315199.69300000003</v>
      </c>
      <c r="CX47" s="546">
        <f t="shared" si="67"/>
        <v>221220.307</v>
      </c>
      <c r="CZ47" s="547" t="s">
        <v>548</v>
      </c>
      <c r="DA47" s="546">
        <v>3695975</v>
      </c>
      <c r="DB47" s="546">
        <f t="shared" si="40"/>
        <v>3695.9749999999999</v>
      </c>
      <c r="DE47" s="544" t="s">
        <v>544</v>
      </c>
      <c r="DF47" s="545">
        <v>536420000</v>
      </c>
      <c r="DG47" s="545">
        <v>360563678</v>
      </c>
      <c r="DH47" s="545">
        <v>360563678</v>
      </c>
      <c r="DI47" s="545">
        <v>175856322</v>
      </c>
      <c r="DJ47" s="546">
        <f t="shared" si="41"/>
        <v>536420</v>
      </c>
      <c r="DK47" s="546">
        <f t="shared" si="42"/>
        <v>360563.67800000001</v>
      </c>
      <c r="DL47" s="546">
        <f t="shared" si="43"/>
        <v>360563.67800000001</v>
      </c>
      <c r="DM47" s="546">
        <f t="shared" si="44"/>
        <v>175856.32199999999</v>
      </c>
      <c r="DP47" s="544" t="s">
        <v>548</v>
      </c>
      <c r="DQ47" s="545">
        <v>3843747</v>
      </c>
      <c r="DR47" s="546">
        <f t="shared" si="45"/>
        <v>3843.7469999999998</v>
      </c>
      <c r="DT47" s="544" t="s">
        <v>544</v>
      </c>
      <c r="DU47" s="545">
        <v>536420000</v>
      </c>
      <c r="DV47" s="545">
        <v>426380284</v>
      </c>
      <c r="DW47" s="545">
        <v>426380284</v>
      </c>
      <c r="DX47" s="545">
        <v>110039716</v>
      </c>
      <c r="DY47" s="546">
        <f t="shared" si="46"/>
        <v>536420</v>
      </c>
      <c r="DZ47" s="546">
        <f t="shared" si="47"/>
        <v>426380.28399999999</v>
      </c>
      <c r="EA47" s="546">
        <f t="shared" si="48"/>
        <v>426380.28399999999</v>
      </c>
      <c r="EB47" s="546">
        <f t="shared" si="49"/>
        <v>110039.716</v>
      </c>
      <c r="EE47" s="547" t="s">
        <v>362</v>
      </c>
      <c r="EF47" s="546">
        <v>3349816</v>
      </c>
      <c r="EG47" s="548">
        <f t="shared" si="50"/>
        <v>3349.8159999999998</v>
      </c>
      <c r="EI47" s="547" t="s">
        <v>543</v>
      </c>
      <c r="EJ47" s="546">
        <v>42160000</v>
      </c>
      <c r="EK47" s="546">
        <v>36818039</v>
      </c>
      <c r="EL47" s="546">
        <v>36818039</v>
      </c>
      <c r="EM47" s="548">
        <f t="shared" si="51"/>
        <v>42160</v>
      </c>
      <c r="EN47" s="548">
        <f t="shared" si="52"/>
        <v>36818.038999999997</v>
      </c>
      <c r="EO47" s="548">
        <f t="shared" si="53"/>
        <v>36818.038999999997</v>
      </c>
      <c r="ER47" s="544" t="s">
        <v>480</v>
      </c>
      <c r="ES47" s="545">
        <v>30000000</v>
      </c>
      <c r="ET47" s="546">
        <f t="shared" si="54"/>
        <v>30000</v>
      </c>
      <c r="EW47" s="544" t="s">
        <v>543</v>
      </c>
      <c r="EX47" s="545">
        <v>0</v>
      </c>
      <c r="EY47" s="545">
        <v>42160000</v>
      </c>
      <c r="EZ47" s="545">
        <v>41008828</v>
      </c>
      <c r="FA47" s="545">
        <v>41008828</v>
      </c>
      <c r="FB47" s="545">
        <v>1151172</v>
      </c>
      <c r="FC47" s="546">
        <f t="shared" si="55"/>
        <v>0</v>
      </c>
      <c r="FD47" s="546">
        <f t="shared" si="56"/>
        <v>42160</v>
      </c>
      <c r="FE47" s="546">
        <f t="shared" si="57"/>
        <v>41008.828000000001</v>
      </c>
      <c r="FF47" s="546">
        <f t="shared" si="58"/>
        <v>41008.828000000001</v>
      </c>
      <c r="FG47" s="546">
        <f t="shared" si="59"/>
        <v>1151.172</v>
      </c>
      <c r="FJ47" s="547" t="s">
        <v>950</v>
      </c>
      <c r="FK47" s="546">
        <v>1734</v>
      </c>
      <c r="FL47" s="548">
        <f t="shared" si="60"/>
        <v>1.734</v>
      </c>
      <c r="FN47" s="549" t="s">
        <v>545</v>
      </c>
      <c r="FO47" s="550">
        <v>1544745589</v>
      </c>
      <c r="FP47" s="550">
        <v>1544362406</v>
      </c>
      <c r="FQ47" s="550">
        <v>1544362406</v>
      </c>
      <c r="FR47" s="550">
        <f t="shared" si="61"/>
        <v>1544745.5889999999</v>
      </c>
      <c r="FS47" s="550">
        <f t="shared" si="62"/>
        <v>1544362.406</v>
      </c>
      <c r="FT47" s="550">
        <f t="shared" si="63"/>
        <v>1544362.406</v>
      </c>
    </row>
    <row r="48" spans="1:176" ht="15" customHeight="1" x14ac:dyDescent="0.25">
      <c r="A48" s="890" t="s">
        <v>890</v>
      </c>
      <c r="B48" s="544" t="s">
        <v>546</v>
      </c>
      <c r="C48" s="545">
        <v>0</v>
      </c>
      <c r="D48" s="545">
        <v>752020000</v>
      </c>
      <c r="E48" s="545">
        <v>0</v>
      </c>
      <c r="F48" s="545">
        <v>752020000</v>
      </c>
      <c r="G48" s="545">
        <v>0</v>
      </c>
      <c r="H48" s="546">
        <f t="shared" si="10"/>
        <v>783604.84000000008</v>
      </c>
      <c r="I48" s="546">
        <f t="shared" si="11"/>
        <v>0</v>
      </c>
      <c r="J48" s="546">
        <f t="shared" si="12"/>
        <v>783604.84000000008</v>
      </c>
      <c r="K48" s="546">
        <f t="shared" si="13"/>
        <v>0</v>
      </c>
      <c r="O48" s="544" t="s">
        <v>368</v>
      </c>
      <c r="P48" s="545">
        <v>416786</v>
      </c>
      <c r="Q48" s="546">
        <f t="shared" si="14"/>
        <v>434.29101200000002</v>
      </c>
      <c r="S48" s="544" t="s">
        <v>546</v>
      </c>
      <c r="T48" s="545">
        <v>752020000</v>
      </c>
      <c r="U48" s="545">
        <v>0</v>
      </c>
      <c r="V48" s="545">
        <v>0</v>
      </c>
      <c r="W48" s="545">
        <v>752020000</v>
      </c>
      <c r="X48" s="546">
        <f t="shared" si="15"/>
        <v>783604.84000000008</v>
      </c>
      <c r="Y48" s="546">
        <f t="shared" si="16"/>
        <v>0</v>
      </c>
      <c r="Z48" s="546">
        <f t="shared" si="17"/>
        <v>0</v>
      </c>
      <c r="AA48" s="546">
        <f t="shared" si="18"/>
        <v>783604.84000000008</v>
      </c>
      <c r="AC48" s="544" t="s">
        <v>461</v>
      </c>
      <c r="AD48" s="545">
        <v>8854892</v>
      </c>
      <c r="AE48" s="546">
        <f t="shared" si="19"/>
        <v>8854.8919999999998</v>
      </c>
      <c r="AG48" s="544" t="s">
        <v>545</v>
      </c>
      <c r="AH48" s="545">
        <v>1425280000</v>
      </c>
      <c r="AI48" s="545">
        <v>383516024</v>
      </c>
      <c r="AJ48" s="545">
        <v>383516024</v>
      </c>
      <c r="AK48" s="545">
        <v>1041763976</v>
      </c>
      <c r="AL48" s="545">
        <f t="shared" si="20"/>
        <v>1425280</v>
      </c>
      <c r="AM48" s="545">
        <f t="shared" si="21"/>
        <v>383516.02399999998</v>
      </c>
      <c r="AN48" s="545">
        <f t="shared" si="22"/>
        <v>383516.02399999998</v>
      </c>
      <c r="AO48" s="545">
        <f t="shared" si="23"/>
        <v>1041763.976</v>
      </c>
      <c r="AR48" s="544" t="s">
        <v>365</v>
      </c>
      <c r="AS48" s="545">
        <v>130878</v>
      </c>
      <c r="AT48" s="545">
        <f t="shared" si="24"/>
        <v>130.87799999999999</v>
      </c>
      <c r="AV48" s="544" t="s">
        <v>545</v>
      </c>
      <c r="AW48" s="545">
        <v>1425280000</v>
      </c>
      <c r="AX48" s="545">
        <v>384576330</v>
      </c>
      <c r="AY48" s="545">
        <v>384576330</v>
      </c>
      <c r="AZ48" s="545">
        <v>1040703670</v>
      </c>
      <c r="BA48" s="546">
        <f t="shared" si="25"/>
        <v>1425280</v>
      </c>
      <c r="BB48" s="546">
        <f t="shared" si="26"/>
        <v>384576.33</v>
      </c>
      <c r="BC48" s="546">
        <f t="shared" si="27"/>
        <v>384576.33</v>
      </c>
      <c r="BD48" s="546">
        <f t="shared" si="28"/>
        <v>1040703.67</v>
      </c>
      <c r="BG48" s="544" t="s">
        <v>557</v>
      </c>
      <c r="BH48" s="545">
        <v>1024320</v>
      </c>
      <c r="BI48" s="545">
        <f t="shared" si="29"/>
        <v>1024.32</v>
      </c>
      <c r="BK48" s="544" t="s">
        <v>545</v>
      </c>
      <c r="BL48" s="545">
        <v>1425280000</v>
      </c>
      <c r="BM48" s="545">
        <v>384576330</v>
      </c>
      <c r="BN48" s="545">
        <v>384576330</v>
      </c>
      <c r="BO48" s="545">
        <v>1040703670</v>
      </c>
      <c r="BP48" s="545">
        <f t="shared" si="30"/>
        <v>1425280</v>
      </c>
      <c r="BQ48" s="545">
        <f t="shared" si="31"/>
        <v>384576.33</v>
      </c>
      <c r="BR48" s="545">
        <f t="shared" si="32"/>
        <v>384576.33</v>
      </c>
      <c r="BS48" s="545">
        <f t="shared" si="33"/>
        <v>1040703.67</v>
      </c>
      <c r="BV48" s="544" t="s">
        <v>585</v>
      </c>
      <c r="BW48" s="545">
        <v>13127263</v>
      </c>
      <c r="BX48" s="546">
        <f t="shared" si="34"/>
        <v>13127.263000000001</v>
      </c>
      <c r="BZ48" s="544" t="s">
        <v>545</v>
      </c>
      <c r="CA48" s="545">
        <v>1425280000</v>
      </c>
      <c r="CB48" s="545">
        <v>770351352</v>
      </c>
      <c r="CC48" s="545">
        <v>770351352</v>
      </c>
      <c r="CD48" s="545">
        <v>654928648</v>
      </c>
      <c r="CE48" s="545">
        <f t="shared" si="35"/>
        <v>1425280</v>
      </c>
      <c r="CF48" s="545">
        <f t="shared" si="36"/>
        <v>770351.35199999996</v>
      </c>
      <c r="CG48" s="545">
        <f t="shared" si="37"/>
        <v>770351.35199999996</v>
      </c>
      <c r="CH48" s="545">
        <f t="shared" si="38"/>
        <v>654928.64800000004</v>
      </c>
      <c r="CK48" s="547" t="s">
        <v>585</v>
      </c>
      <c r="CL48" s="546">
        <v>10368822</v>
      </c>
      <c r="CM48" s="546">
        <f t="shared" si="39"/>
        <v>10368.822</v>
      </c>
      <c r="CP48" s="547" t="s">
        <v>545</v>
      </c>
      <c r="CQ48" s="546">
        <v>1425280000</v>
      </c>
      <c r="CR48" s="546">
        <v>770788307</v>
      </c>
      <c r="CS48" s="546">
        <v>770788307</v>
      </c>
      <c r="CT48" s="546">
        <v>654491693</v>
      </c>
      <c r="CU48" s="546">
        <f t="shared" si="64"/>
        <v>1425280</v>
      </c>
      <c r="CV48" s="546">
        <f t="shared" si="65"/>
        <v>770788.30700000003</v>
      </c>
      <c r="CW48" s="546">
        <f t="shared" si="66"/>
        <v>770788.30700000003</v>
      </c>
      <c r="CX48" s="546">
        <f t="shared" si="67"/>
        <v>654491.69299999997</v>
      </c>
      <c r="CZ48" s="547" t="s">
        <v>585</v>
      </c>
      <c r="DA48" s="546">
        <v>13927332</v>
      </c>
      <c r="DB48" s="546">
        <f t="shared" si="40"/>
        <v>13927.332</v>
      </c>
      <c r="DE48" s="544" t="s">
        <v>545</v>
      </c>
      <c r="DF48" s="545">
        <v>1425280000</v>
      </c>
      <c r="DG48" s="545">
        <v>770774777</v>
      </c>
      <c r="DH48" s="545">
        <v>770774777</v>
      </c>
      <c r="DI48" s="545">
        <v>654505223</v>
      </c>
      <c r="DJ48" s="546">
        <f t="shared" si="41"/>
        <v>1425280</v>
      </c>
      <c r="DK48" s="546">
        <f t="shared" si="42"/>
        <v>770774.777</v>
      </c>
      <c r="DL48" s="546">
        <f t="shared" si="43"/>
        <v>770774.777</v>
      </c>
      <c r="DM48" s="546">
        <f t="shared" si="44"/>
        <v>654505.223</v>
      </c>
      <c r="DP48" s="544" t="s">
        <v>585</v>
      </c>
      <c r="DQ48" s="545">
        <v>6787438</v>
      </c>
      <c r="DR48" s="546">
        <f t="shared" si="45"/>
        <v>6787.4380000000001</v>
      </c>
      <c r="DT48" s="544" t="s">
        <v>545</v>
      </c>
      <c r="DU48" s="545">
        <v>1425280000</v>
      </c>
      <c r="DV48" s="545">
        <v>1157122216</v>
      </c>
      <c r="DW48" s="545">
        <v>1157122216</v>
      </c>
      <c r="DX48" s="545">
        <v>268157784</v>
      </c>
      <c r="DY48" s="546">
        <f t="shared" si="46"/>
        <v>1425280</v>
      </c>
      <c r="DZ48" s="546">
        <f t="shared" si="47"/>
        <v>1157122.216</v>
      </c>
      <c r="EA48" s="546">
        <f t="shared" si="48"/>
        <v>1157122.216</v>
      </c>
      <c r="EB48" s="546">
        <f t="shared" si="49"/>
        <v>268157.78399999999</v>
      </c>
      <c r="EE48" s="547" t="s">
        <v>364</v>
      </c>
      <c r="EF48" s="546">
        <v>321459987</v>
      </c>
      <c r="EG48" s="548">
        <f t="shared" si="50"/>
        <v>321459.98700000002</v>
      </c>
      <c r="EI48" s="547" t="s">
        <v>544</v>
      </c>
      <c r="EJ48" s="546">
        <v>536420000</v>
      </c>
      <c r="EK48" s="546">
        <v>466477941</v>
      </c>
      <c r="EL48" s="546">
        <v>466477941</v>
      </c>
      <c r="EM48" s="548">
        <f t="shared" si="51"/>
        <v>536420</v>
      </c>
      <c r="EN48" s="548">
        <f t="shared" si="52"/>
        <v>466477.94099999999</v>
      </c>
      <c r="EO48" s="548">
        <f t="shared" si="53"/>
        <v>466477.94099999999</v>
      </c>
      <c r="ER48" s="544" t="s">
        <v>367</v>
      </c>
      <c r="ES48" s="545">
        <v>14626727</v>
      </c>
      <c r="ET48" s="546">
        <f t="shared" si="54"/>
        <v>14626.727000000001</v>
      </c>
      <c r="EW48" s="544" t="s">
        <v>544</v>
      </c>
      <c r="EX48" s="545">
        <v>0</v>
      </c>
      <c r="EY48" s="545">
        <v>536420000</v>
      </c>
      <c r="EZ48" s="545">
        <v>506676525</v>
      </c>
      <c r="FA48" s="545">
        <v>506676525</v>
      </c>
      <c r="FB48" s="545">
        <v>29743475</v>
      </c>
      <c r="FC48" s="546">
        <f t="shared" si="55"/>
        <v>0</v>
      </c>
      <c r="FD48" s="546">
        <f t="shared" si="56"/>
        <v>536420</v>
      </c>
      <c r="FE48" s="546">
        <f t="shared" si="57"/>
        <v>506676.52500000002</v>
      </c>
      <c r="FF48" s="546">
        <f t="shared" si="58"/>
        <v>506676.52500000002</v>
      </c>
      <c r="FG48" s="546">
        <f t="shared" si="59"/>
        <v>29743.474999999999</v>
      </c>
      <c r="FJ48" s="547" t="s">
        <v>357</v>
      </c>
      <c r="FK48" s="546">
        <v>45691453</v>
      </c>
      <c r="FL48" s="548">
        <f t="shared" si="60"/>
        <v>45691.453000000001</v>
      </c>
      <c r="FN48" s="549" t="s">
        <v>546</v>
      </c>
      <c r="FO48" s="550">
        <v>795588663</v>
      </c>
      <c r="FP48" s="550">
        <v>795263258</v>
      </c>
      <c r="FQ48" s="550">
        <v>795263258</v>
      </c>
      <c r="FR48" s="550">
        <f t="shared" si="61"/>
        <v>795588.66299999994</v>
      </c>
      <c r="FS48" s="550">
        <f t="shared" si="62"/>
        <v>795263.25800000003</v>
      </c>
      <c r="FT48" s="550">
        <f t="shared" si="63"/>
        <v>795263.25800000003</v>
      </c>
    </row>
    <row r="49" spans="1:176" ht="15" customHeight="1" x14ac:dyDescent="0.25">
      <c r="A49" s="890" t="s">
        <v>890</v>
      </c>
      <c r="B49" s="544" t="s">
        <v>356</v>
      </c>
      <c r="C49" s="545">
        <v>0</v>
      </c>
      <c r="D49" s="545">
        <v>673260000</v>
      </c>
      <c r="E49" s="545">
        <v>0</v>
      </c>
      <c r="F49" s="545">
        <v>673260000</v>
      </c>
      <c r="G49" s="545">
        <v>0</v>
      </c>
      <c r="H49" s="546">
        <f t="shared" si="10"/>
        <v>701536.92</v>
      </c>
      <c r="I49" s="546">
        <f t="shared" si="11"/>
        <v>0</v>
      </c>
      <c r="J49" s="546">
        <f t="shared" si="12"/>
        <v>701536.92</v>
      </c>
      <c r="K49" s="546">
        <f t="shared" si="13"/>
        <v>0</v>
      </c>
      <c r="O49" s="544" t="s">
        <v>750</v>
      </c>
      <c r="P49" s="545">
        <v>314160</v>
      </c>
      <c r="Q49" s="546">
        <f t="shared" si="14"/>
        <v>327.35472000000004</v>
      </c>
      <c r="S49" s="544" t="s">
        <v>356</v>
      </c>
      <c r="T49" s="545">
        <v>673260000</v>
      </c>
      <c r="U49" s="545">
        <v>0</v>
      </c>
      <c r="V49" s="545">
        <v>0</v>
      </c>
      <c r="W49" s="545">
        <v>673260000</v>
      </c>
      <c r="X49" s="546">
        <f t="shared" si="15"/>
        <v>701536.92</v>
      </c>
      <c r="Y49" s="546">
        <f t="shared" si="16"/>
        <v>0</v>
      </c>
      <c r="Z49" s="546">
        <f t="shared" si="17"/>
        <v>0</v>
      </c>
      <c r="AA49" s="546">
        <f t="shared" si="18"/>
        <v>701536.92</v>
      </c>
      <c r="AC49" s="544" t="s">
        <v>361</v>
      </c>
      <c r="AD49" s="545">
        <v>98346594</v>
      </c>
      <c r="AE49" s="546">
        <f t="shared" si="19"/>
        <v>98346.593999999997</v>
      </c>
      <c r="AG49" s="544" t="s">
        <v>546</v>
      </c>
      <c r="AH49" s="545">
        <v>752020000</v>
      </c>
      <c r="AI49" s="545">
        <v>194514333</v>
      </c>
      <c r="AJ49" s="545">
        <v>194514333</v>
      </c>
      <c r="AK49" s="545">
        <v>557505667</v>
      </c>
      <c r="AL49" s="545">
        <f t="shared" si="20"/>
        <v>752020</v>
      </c>
      <c r="AM49" s="545">
        <f t="shared" si="21"/>
        <v>194514.33300000001</v>
      </c>
      <c r="AN49" s="545">
        <f t="shared" si="22"/>
        <v>194514.33300000001</v>
      </c>
      <c r="AO49" s="545">
        <f t="shared" si="23"/>
        <v>557505.66700000002</v>
      </c>
      <c r="AR49" s="544" t="s">
        <v>552</v>
      </c>
      <c r="AS49" s="545">
        <v>130878</v>
      </c>
      <c r="AT49" s="545">
        <f t="shared" si="24"/>
        <v>130.87799999999999</v>
      </c>
      <c r="AV49" s="544" t="s">
        <v>546</v>
      </c>
      <c r="AW49" s="545">
        <v>752020000</v>
      </c>
      <c r="AX49" s="545">
        <v>195057166</v>
      </c>
      <c r="AY49" s="545">
        <v>195057166</v>
      </c>
      <c r="AZ49" s="545">
        <v>556962834</v>
      </c>
      <c r="BA49" s="546">
        <f t="shared" si="25"/>
        <v>752020</v>
      </c>
      <c r="BB49" s="546">
        <f t="shared" si="26"/>
        <v>195057.166</v>
      </c>
      <c r="BC49" s="546">
        <f t="shared" si="27"/>
        <v>195057.166</v>
      </c>
      <c r="BD49" s="546">
        <f t="shared" si="28"/>
        <v>556962.83400000003</v>
      </c>
      <c r="BG49" s="544" t="s">
        <v>558</v>
      </c>
      <c r="BH49" s="545">
        <v>268583</v>
      </c>
      <c r="BI49" s="545">
        <f t="shared" si="29"/>
        <v>268.58300000000003</v>
      </c>
      <c r="BK49" s="544" t="s">
        <v>546</v>
      </c>
      <c r="BL49" s="545">
        <v>752020000</v>
      </c>
      <c r="BM49" s="545">
        <v>195057166</v>
      </c>
      <c r="BN49" s="545">
        <v>195057166</v>
      </c>
      <c r="BO49" s="545">
        <v>556962834</v>
      </c>
      <c r="BP49" s="545">
        <f t="shared" si="30"/>
        <v>752020</v>
      </c>
      <c r="BQ49" s="545">
        <f t="shared" si="31"/>
        <v>195057.166</v>
      </c>
      <c r="BR49" s="545">
        <f t="shared" si="32"/>
        <v>195057.166</v>
      </c>
      <c r="BS49" s="545">
        <f t="shared" si="33"/>
        <v>556962.83400000003</v>
      </c>
      <c r="BV49" s="544" t="s">
        <v>358</v>
      </c>
      <c r="BW49" s="545">
        <v>9599696</v>
      </c>
      <c r="BX49" s="546">
        <f t="shared" si="34"/>
        <v>9599.6959999999999</v>
      </c>
      <c r="BZ49" s="544" t="s">
        <v>546</v>
      </c>
      <c r="CA49" s="545">
        <v>752020000</v>
      </c>
      <c r="CB49" s="545">
        <v>393360514</v>
      </c>
      <c r="CC49" s="545">
        <v>393360514</v>
      </c>
      <c r="CD49" s="545">
        <v>358659486</v>
      </c>
      <c r="CE49" s="545">
        <f t="shared" si="35"/>
        <v>752020</v>
      </c>
      <c r="CF49" s="545">
        <f t="shared" si="36"/>
        <v>393360.51400000002</v>
      </c>
      <c r="CG49" s="545">
        <f t="shared" si="37"/>
        <v>393360.51400000002</v>
      </c>
      <c r="CH49" s="545">
        <f t="shared" si="38"/>
        <v>358659.48599999998</v>
      </c>
      <c r="CK49" s="547" t="s">
        <v>358</v>
      </c>
      <c r="CL49" s="546">
        <v>-1935</v>
      </c>
      <c r="CM49" s="546">
        <f t="shared" si="39"/>
        <v>-1.9350000000000001</v>
      </c>
      <c r="CP49" s="547" t="s">
        <v>546</v>
      </c>
      <c r="CQ49" s="546">
        <v>752020000</v>
      </c>
      <c r="CR49" s="546">
        <v>393573340</v>
      </c>
      <c r="CS49" s="546">
        <v>393573340</v>
      </c>
      <c r="CT49" s="546">
        <v>358446660</v>
      </c>
      <c r="CU49" s="546">
        <f t="shared" si="64"/>
        <v>752020</v>
      </c>
      <c r="CV49" s="546">
        <f t="shared" si="65"/>
        <v>393573.34</v>
      </c>
      <c r="CW49" s="546">
        <f t="shared" si="66"/>
        <v>393573.34</v>
      </c>
      <c r="CX49" s="546">
        <f t="shared" si="67"/>
        <v>358446.66</v>
      </c>
      <c r="CZ49" s="547" t="s">
        <v>358</v>
      </c>
      <c r="DA49" s="546">
        <v>-6765</v>
      </c>
      <c r="DB49" s="546">
        <f t="shared" si="40"/>
        <v>-6.7649999999999997</v>
      </c>
      <c r="DE49" s="544" t="s">
        <v>546</v>
      </c>
      <c r="DF49" s="545">
        <v>752020000</v>
      </c>
      <c r="DG49" s="545">
        <v>393566575</v>
      </c>
      <c r="DH49" s="545">
        <v>393566575</v>
      </c>
      <c r="DI49" s="545">
        <v>358453425</v>
      </c>
      <c r="DJ49" s="546">
        <f t="shared" si="41"/>
        <v>752020</v>
      </c>
      <c r="DK49" s="546">
        <f t="shared" si="42"/>
        <v>393566.57500000001</v>
      </c>
      <c r="DL49" s="546">
        <f t="shared" si="43"/>
        <v>393566.57500000001</v>
      </c>
      <c r="DM49" s="546">
        <f t="shared" si="44"/>
        <v>358453.42499999999</v>
      </c>
      <c r="DP49" s="544" t="s">
        <v>358</v>
      </c>
      <c r="DQ49" s="545">
        <v>22760013</v>
      </c>
      <c r="DR49" s="546">
        <f t="shared" si="45"/>
        <v>22760.012999999999</v>
      </c>
      <c r="DT49" s="544" t="s">
        <v>546</v>
      </c>
      <c r="DU49" s="545">
        <v>752020000</v>
      </c>
      <c r="DV49" s="545">
        <v>593857451</v>
      </c>
      <c r="DW49" s="545">
        <v>593857451</v>
      </c>
      <c r="DX49" s="545">
        <v>158162549</v>
      </c>
      <c r="DY49" s="546">
        <f t="shared" si="46"/>
        <v>752020</v>
      </c>
      <c r="DZ49" s="546">
        <f t="shared" si="47"/>
        <v>593857.451</v>
      </c>
      <c r="EA49" s="546">
        <f t="shared" si="48"/>
        <v>593857.451</v>
      </c>
      <c r="EB49" s="546">
        <f t="shared" si="49"/>
        <v>158162.549</v>
      </c>
      <c r="EE49" s="547" t="s">
        <v>365</v>
      </c>
      <c r="EF49" s="546">
        <v>7548341</v>
      </c>
      <c r="EG49" s="548">
        <f t="shared" si="50"/>
        <v>7548.3410000000003</v>
      </c>
      <c r="EI49" s="547" t="s">
        <v>545</v>
      </c>
      <c r="EJ49" s="546">
        <v>1425280000</v>
      </c>
      <c r="EK49" s="546">
        <v>1157231441</v>
      </c>
      <c r="EL49" s="546">
        <v>1157231441</v>
      </c>
      <c r="EM49" s="548">
        <f t="shared" si="51"/>
        <v>1425280</v>
      </c>
      <c r="EN49" s="548">
        <f t="shared" si="52"/>
        <v>1157231.4410000001</v>
      </c>
      <c r="EO49" s="548">
        <f t="shared" si="53"/>
        <v>1157231.4410000001</v>
      </c>
      <c r="ER49" s="544" t="s">
        <v>368</v>
      </c>
      <c r="ES49" s="545">
        <v>7874474</v>
      </c>
      <c r="ET49" s="546">
        <f t="shared" si="54"/>
        <v>7874.4740000000002</v>
      </c>
      <c r="EW49" s="544" t="s">
        <v>545</v>
      </c>
      <c r="EX49" s="545">
        <v>0</v>
      </c>
      <c r="EY49" s="545">
        <v>1425280000</v>
      </c>
      <c r="EZ49" s="545">
        <v>1157231441</v>
      </c>
      <c r="FA49" s="545">
        <v>1157231441</v>
      </c>
      <c r="FB49" s="545">
        <v>268048559</v>
      </c>
      <c r="FC49" s="546">
        <f t="shared" si="55"/>
        <v>0</v>
      </c>
      <c r="FD49" s="546">
        <f t="shared" si="56"/>
        <v>1425280</v>
      </c>
      <c r="FE49" s="546">
        <f t="shared" si="57"/>
        <v>1157231.4410000001</v>
      </c>
      <c r="FF49" s="546">
        <f t="shared" si="58"/>
        <v>1157231.4410000001</v>
      </c>
      <c r="FG49" s="546">
        <f t="shared" si="59"/>
        <v>268048.55900000001</v>
      </c>
      <c r="FJ49" s="547" t="s">
        <v>547</v>
      </c>
      <c r="FK49" s="546">
        <v>20243231</v>
      </c>
      <c r="FL49" s="548">
        <f t="shared" si="60"/>
        <v>20243.231</v>
      </c>
      <c r="FN49" s="549" t="s">
        <v>356</v>
      </c>
      <c r="FO49" s="550">
        <v>749155192</v>
      </c>
      <c r="FP49" s="550">
        <v>749097414</v>
      </c>
      <c r="FQ49" s="550">
        <v>749097414</v>
      </c>
      <c r="FR49" s="550">
        <f t="shared" si="61"/>
        <v>749155.19200000004</v>
      </c>
      <c r="FS49" s="550">
        <f t="shared" si="62"/>
        <v>749097.41399999999</v>
      </c>
      <c r="FT49" s="550">
        <f t="shared" si="63"/>
        <v>749097.41399999999</v>
      </c>
    </row>
    <row r="50" spans="1:176" ht="15" customHeight="1" x14ac:dyDescent="0.25">
      <c r="A50" s="890" t="s">
        <v>889</v>
      </c>
      <c r="B50" s="544" t="s">
        <v>357</v>
      </c>
      <c r="C50" s="545">
        <v>0</v>
      </c>
      <c r="D50" s="545">
        <v>333870506</v>
      </c>
      <c r="E50" s="545">
        <v>27407098</v>
      </c>
      <c r="F50" s="545">
        <v>306463408</v>
      </c>
      <c r="G50" s="545">
        <v>27407098</v>
      </c>
      <c r="H50" s="546">
        <f t="shared" si="10"/>
        <v>347893.06725199998</v>
      </c>
      <c r="I50" s="546">
        <f t="shared" si="11"/>
        <v>28558.196116000003</v>
      </c>
      <c r="J50" s="546">
        <f t="shared" si="12"/>
        <v>319334.87113600003</v>
      </c>
      <c r="K50" s="546">
        <f t="shared" si="13"/>
        <v>28558.196116000003</v>
      </c>
      <c r="O50" s="544" t="s">
        <v>555</v>
      </c>
      <c r="P50" s="545">
        <v>78717</v>
      </c>
      <c r="Q50" s="546">
        <f t="shared" si="14"/>
        <v>82.023114000000007</v>
      </c>
      <c r="S50" s="544" t="s">
        <v>357</v>
      </c>
      <c r="T50" s="545">
        <v>330370500</v>
      </c>
      <c r="U50" s="545">
        <v>57787908</v>
      </c>
      <c r="V50" s="545">
        <v>57787908</v>
      </c>
      <c r="W50" s="545">
        <v>272582592</v>
      </c>
      <c r="X50" s="546">
        <f t="shared" si="15"/>
        <v>344246.06099999999</v>
      </c>
      <c r="Y50" s="546">
        <f t="shared" si="16"/>
        <v>60215.000136000002</v>
      </c>
      <c r="Z50" s="546">
        <f t="shared" si="17"/>
        <v>60215.000136000002</v>
      </c>
      <c r="AA50" s="546">
        <f t="shared" si="18"/>
        <v>284031.060864</v>
      </c>
      <c r="AC50" s="544" t="s">
        <v>549</v>
      </c>
      <c r="AD50" s="545">
        <v>82890031</v>
      </c>
      <c r="AE50" s="546">
        <f t="shared" si="19"/>
        <v>82890.031000000003</v>
      </c>
      <c r="AG50" s="544" t="s">
        <v>356</v>
      </c>
      <c r="AH50" s="545">
        <v>673260000</v>
      </c>
      <c r="AI50" s="545">
        <v>189001691</v>
      </c>
      <c r="AJ50" s="545">
        <v>189001691</v>
      </c>
      <c r="AK50" s="545">
        <v>484258309</v>
      </c>
      <c r="AL50" s="545">
        <f t="shared" si="20"/>
        <v>673260</v>
      </c>
      <c r="AM50" s="545">
        <f t="shared" si="21"/>
        <v>189001.69099999999</v>
      </c>
      <c r="AN50" s="545">
        <f t="shared" si="22"/>
        <v>189001.69099999999</v>
      </c>
      <c r="AO50" s="545">
        <f t="shared" si="23"/>
        <v>484258.30900000001</v>
      </c>
      <c r="AR50" s="544" t="s">
        <v>367</v>
      </c>
      <c r="AS50" s="545">
        <v>2777341</v>
      </c>
      <c r="AT50" s="545">
        <f t="shared" si="24"/>
        <v>2777.3409999999999</v>
      </c>
      <c r="AV50" s="544" t="s">
        <v>356</v>
      </c>
      <c r="AW50" s="545">
        <v>673260000</v>
      </c>
      <c r="AX50" s="545">
        <v>189519164</v>
      </c>
      <c r="AY50" s="545">
        <v>189519164</v>
      </c>
      <c r="AZ50" s="545">
        <v>483740836</v>
      </c>
      <c r="BA50" s="546">
        <f t="shared" si="25"/>
        <v>673260</v>
      </c>
      <c r="BB50" s="546">
        <f t="shared" si="26"/>
        <v>189519.16399999999</v>
      </c>
      <c r="BC50" s="546">
        <f t="shared" si="27"/>
        <v>189519.16399999999</v>
      </c>
      <c r="BD50" s="546">
        <f t="shared" si="28"/>
        <v>483740.83600000001</v>
      </c>
      <c r="BG50" s="544" t="s">
        <v>373</v>
      </c>
      <c r="BH50" s="545">
        <v>6674313</v>
      </c>
      <c r="BI50" s="545">
        <f t="shared" si="29"/>
        <v>6674.3130000000001</v>
      </c>
      <c r="BK50" s="544" t="s">
        <v>356</v>
      </c>
      <c r="BL50" s="545">
        <v>673260000</v>
      </c>
      <c r="BM50" s="545">
        <v>189519164</v>
      </c>
      <c r="BN50" s="545">
        <v>189519164</v>
      </c>
      <c r="BO50" s="545">
        <v>483740836</v>
      </c>
      <c r="BP50" s="545">
        <f t="shared" si="30"/>
        <v>673260</v>
      </c>
      <c r="BQ50" s="545">
        <f t="shared" si="31"/>
        <v>189519.16399999999</v>
      </c>
      <c r="BR50" s="545">
        <f t="shared" si="32"/>
        <v>189519.16399999999</v>
      </c>
      <c r="BS50" s="545">
        <f t="shared" si="33"/>
        <v>483740.83600000001</v>
      </c>
      <c r="BV50" s="544" t="s">
        <v>461</v>
      </c>
      <c r="BW50" s="545">
        <v>9599696</v>
      </c>
      <c r="BX50" s="546">
        <f t="shared" si="34"/>
        <v>9599.6959999999999</v>
      </c>
      <c r="BZ50" s="544" t="s">
        <v>356</v>
      </c>
      <c r="CA50" s="545">
        <v>673260000</v>
      </c>
      <c r="CB50" s="545">
        <v>376990838</v>
      </c>
      <c r="CC50" s="545">
        <v>376990838</v>
      </c>
      <c r="CD50" s="545">
        <v>296269162</v>
      </c>
      <c r="CE50" s="545">
        <f t="shared" si="35"/>
        <v>673260</v>
      </c>
      <c r="CF50" s="545">
        <f t="shared" si="36"/>
        <v>376990.83799999999</v>
      </c>
      <c r="CG50" s="545">
        <f t="shared" si="37"/>
        <v>376990.83799999999</v>
      </c>
      <c r="CH50" s="545">
        <f t="shared" si="38"/>
        <v>296269.16200000001</v>
      </c>
      <c r="CK50" s="547" t="s">
        <v>461</v>
      </c>
      <c r="CL50" s="546">
        <v>-1935</v>
      </c>
      <c r="CM50" s="546">
        <f t="shared" si="39"/>
        <v>-1.9350000000000001</v>
      </c>
      <c r="CP50" s="547" t="s">
        <v>356</v>
      </c>
      <c r="CQ50" s="546">
        <v>673260000</v>
      </c>
      <c r="CR50" s="546">
        <v>377214967</v>
      </c>
      <c r="CS50" s="546">
        <v>377214967</v>
      </c>
      <c r="CT50" s="546">
        <v>296045033</v>
      </c>
      <c r="CU50" s="546">
        <f t="shared" si="64"/>
        <v>673260</v>
      </c>
      <c r="CV50" s="546">
        <f t="shared" si="65"/>
        <v>377214.967</v>
      </c>
      <c r="CW50" s="546">
        <f t="shared" si="66"/>
        <v>377214.967</v>
      </c>
      <c r="CX50" s="546">
        <f t="shared" si="67"/>
        <v>296045.033</v>
      </c>
      <c r="CZ50" s="547" t="s">
        <v>461</v>
      </c>
      <c r="DA50" s="546">
        <v>-6765</v>
      </c>
      <c r="DB50" s="546">
        <f t="shared" si="40"/>
        <v>-6.7649999999999997</v>
      </c>
      <c r="DE50" s="544" t="s">
        <v>356</v>
      </c>
      <c r="DF50" s="545">
        <v>673260000</v>
      </c>
      <c r="DG50" s="545">
        <v>377208202</v>
      </c>
      <c r="DH50" s="545">
        <v>377208202</v>
      </c>
      <c r="DI50" s="545">
        <v>296051798</v>
      </c>
      <c r="DJ50" s="546">
        <f t="shared" si="41"/>
        <v>673260</v>
      </c>
      <c r="DK50" s="546">
        <f t="shared" si="42"/>
        <v>377208.20199999999</v>
      </c>
      <c r="DL50" s="546">
        <f t="shared" si="43"/>
        <v>377208.20199999999</v>
      </c>
      <c r="DM50" s="546">
        <f t="shared" si="44"/>
        <v>296051.79800000001</v>
      </c>
      <c r="DP50" s="544" t="s">
        <v>359</v>
      </c>
      <c r="DQ50" s="545">
        <v>22760013</v>
      </c>
      <c r="DR50" s="546">
        <f t="shared" si="45"/>
        <v>22760.012999999999</v>
      </c>
      <c r="DT50" s="544" t="s">
        <v>356</v>
      </c>
      <c r="DU50" s="545">
        <v>673260000</v>
      </c>
      <c r="DV50" s="545">
        <v>563264765</v>
      </c>
      <c r="DW50" s="545">
        <v>563264765</v>
      </c>
      <c r="DX50" s="545">
        <v>109995235</v>
      </c>
      <c r="DY50" s="546">
        <f t="shared" si="46"/>
        <v>673260</v>
      </c>
      <c r="DZ50" s="546">
        <f t="shared" si="47"/>
        <v>563264.76500000001</v>
      </c>
      <c r="EA50" s="546">
        <f t="shared" si="48"/>
        <v>563264.76500000001</v>
      </c>
      <c r="EB50" s="546">
        <f t="shared" si="49"/>
        <v>109995.235</v>
      </c>
      <c r="EE50" s="547" t="s">
        <v>552</v>
      </c>
      <c r="EF50" s="546">
        <v>7548341</v>
      </c>
      <c r="EG50" s="548">
        <f t="shared" si="50"/>
        <v>7548.3410000000003</v>
      </c>
      <c r="EI50" s="547" t="s">
        <v>546</v>
      </c>
      <c r="EJ50" s="546">
        <v>752020000</v>
      </c>
      <c r="EK50" s="546">
        <v>593945138</v>
      </c>
      <c r="EL50" s="546">
        <v>593945138</v>
      </c>
      <c r="EM50" s="548">
        <f t="shared" si="51"/>
        <v>752020</v>
      </c>
      <c r="EN50" s="548">
        <f t="shared" si="52"/>
        <v>593945.13800000004</v>
      </c>
      <c r="EO50" s="548">
        <f t="shared" si="53"/>
        <v>593945.13800000004</v>
      </c>
      <c r="ER50" s="544" t="s">
        <v>554</v>
      </c>
      <c r="ES50" s="545">
        <v>384982</v>
      </c>
      <c r="ET50" s="546">
        <f t="shared" si="54"/>
        <v>384.98200000000003</v>
      </c>
      <c r="EW50" s="544" t="s">
        <v>546</v>
      </c>
      <c r="EX50" s="545">
        <v>0</v>
      </c>
      <c r="EY50" s="545">
        <v>752020000</v>
      </c>
      <c r="EZ50" s="545">
        <v>593945138</v>
      </c>
      <c r="FA50" s="545">
        <v>593945138</v>
      </c>
      <c r="FB50" s="545">
        <v>158074862</v>
      </c>
      <c r="FC50" s="546">
        <f t="shared" si="55"/>
        <v>0</v>
      </c>
      <c r="FD50" s="546">
        <f t="shared" si="56"/>
        <v>752020</v>
      </c>
      <c r="FE50" s="546">
        <f t="shared" si="57"/>
        <v>593945.13800000004</v>
      </c>
      <c r="FF50" s="546">
        <f t="shared" si="58"/>
        <v>593945.13800000004</v>
      </c>
      <c r="FG50" s="546">
        <f t="shared" si="59"/>
        <v>158074.86199999999</v>
      </c>
      <c r="FJ50" s="547" t="s">
        <v>548</v>
      </c>
      <c r="FK50" s="546">
        <v>15666178</v>
      </c>
      <c r="FL50" s="548">
        <f t="shared" si="60"/>
        <v>15666.178</v>
      </c>
      <c r="FN50" s="549" t="s">
        <v>950</v>
      </c>
      <c r="FO50" s="550">
        <v>1734</v>
      </c>
      <c r="FP50" s="550">
        <v>1734</v>
      </c>
      <c r="FQ50" s="550">
        <v>1734</v>
      </c>
      <c r="FR50" s="550">
        <f t="shared" si="61"/>
        <v>1.734</v>
      </c>
      <c r="FS50" s="550">
        <f t="shared" si="62"/>
        <v>1.734</v>
      </c>
      <c r="FT50" s="550">
        <f t="shared" si="63"/>
        <v>1.734</v>
      </c>
    </row>
    <row r="51" spans="1:176" ht="15" customHeight="1" x14ac:dyDescent="0.25">
      <c r="A51" s="890" t="s">
        <v>890</v>
      </c>
      <c r="B51" s="544" t="s">
        <v>547</v>
      </c>
      <c r="C51" s="545">
        <v>0</v>
      </c>
      <c r="D51" s="545">
        <v>203143500</v>
      </c>
      <c r="E51" s="545">
        <v>18449201</v>
      </c>
      <c r="F51" s="545">
        <v>184694299</v>
      </c>
      <c r="G51" s="545">
        <v>18449201</v>
      </c>
      <c r="H51" s="546">
        <f t="shared" si="10"/>
        <v>211675.527</v>
      </c>
      <c r="I51" s="546">
        <f t="shared" si="11"/>
        <v>19224.067442000003</v>
      </c>
      <c r="J51" s="546">
        <f t="shared" si="12"/>
        <v>192451.459558</v>
      </c>
      <c r="K51" s="546">
        <f t="shared" si="13"/>
        <v>19224.067442000003</v>
      </c>
      <c r="O51" s="544" t="s">
        <v>371</v>
      </c>
      <c r="P51" s="545">
        <v>3416948</v>
      </c>
      <c r="Q51" s="546">
        <f t="shared" si="14"/>
        <v>3560.459816</v>
      </c>
      <c r="S51" s="544" t="s">
        <v>547</v>
      </c>
      <c r="T51" s="545">
        <v>203143500</v>
      </c>
      <c r="U51" s="545">
        <v>36898402</v>
      </c>
      <c r="V51" s="545">
        <v>36898402</v>
      </c>
      <c r="W51" s="545">
        <v>166245098</v>
      </c>
      <c r="X51" s="546">
        <f t="shared" si="15"/>
        <v>211675.527</v>
      </c>
      <c r="Y51" s="546">
        <f t="shared" si="16"/>
        <v>38448.134884000006</v>
      </c>
      <c r="Z51" s="546">
        <f t="shared" si="17"/>
        <v>38448.134884000006</v>
      </c>
      <c r="AA51" s="546">
        <f t="shared" si="18"/>
        <v>173227.392116</v>
      </c>
      <c r="AC51" s="544" t="s">
        <v>550</v>
      </c>
      <c r="AD51" s="545">
        <v>81557429</v>
      </c>
      <c r="AE51" s="546">
        <f t="shared" si="19"/>
        <v>81557.429000000004</v>
      </c>
      <c r="AG51" s="544" t="s">
        <v>357</v>
      </c>
      <c r="AH51" s="545">
        <v>330370500</v>
      </c>
      <c r="AI51" s="545">
        <v>89742751</v>
      </c>
      <c r="AJ51" s="545">
        <v>89742751</v>
      </c>
      <c r="AK51" s="545">
        <v>240627749</v>
      </c>
      <c r="AL51" s="545">
        <f t="shared" si="20"/>
        <v>330370.5</v>
      </c>
      <c r="AM51" s="545">
        <f t="shared" si="21"/>
        <v>89742.751000000004</v>
      </c>
      <c r="AN51" s="545">
        <f t="shared" si="22"/>
        <v>89742.751000000004</v>
      </c>
      <c r="AO51" s="545">
        <f t="shared" si="23"/>
        <v>240627.74900000001</v>
      </c>
      <c r="AR51" s="544" t="s">
        <v>555</v>
      </c>
      <c r="AS51" s="545">
        <v>133280</v>
      </c>
      <c r="AT51" s="545">
        <f t="shared" si="24"/>
        <v>133.28</v>
      </c>
      <c r="AV51" s="544" t="s">
        <v>357</v>
      </c>
      <c r="AW51" s="545">
        <v>330670500</v>
      </c>
      <c r="AX51" s="545">
        <v>127146285</v>
      </c>
      <c r="AY51" s="545">
        <v>127146285</v>
      </c>
      <c r="AZ51" s="545">
        <v>203524215</v>
      </c>
      <c r="BA51" s="546">
        <f t="shared" si="25"/>
        <v>330670.5</v>
      </c>
      <c r="BB51" s="546">
        <f t="shared" si="26"/>
        <v>127146.285</v>
      </c>
      <c r="BC51" s="546">
        <f t="shared" si="27"/>
        <v>127146.285</v>
      </c>
      <c r="BD51" s="546">
        <f t="shared" si="28"/>
        <v>203524.215</v>
      </c>
      <c r="BG51" s="544" t="s">
        <v>374</v>
      </c>
      <c r="BH51" s="545">
        <v>911000</v>
      </c>
      <c r="BI51" s="545">
        <f t="shared" si="29"/>
        <v>911</v>
      </c>
      <c r="BK51" s="544" t="s">
        <v>357</v>
      </c>
      <c r="BL51" s="545">
        <v>331370500</v>
      </c>
      <c r="BM51" s="545">
        <v>160343446</v>
      </c>
      <c r="BN51" s="545">
        <v>160343446</v>
      </c>
      <c r="BO51" s="545">
        <v>171027054</v>
      </c>
      <c r="BP51" s="545">
        <f t="shared" si="30"/>
        <v>331370.5</v>
      </c>
      <c r="BQ51" s="545">
        <f t="shared" si="31"/>
        <v>160343.446</v>
      </c>
      <c r="BR51" s="545">
        <f t="shared" si="32"/>
        <v>160343.446</v>
      </c>
      <c r="BS51" s="545">
        <f t="shared" si="33"/>
        <v>171027.054</v>
      </c>
      <c r="BV51" s="544" t="s">
        <v>361</v>
      </c>
      <c r="BW51" s="545">
        <v>96343995</v>
      </c>
      <c r="BX51" s="546">
        <f t="shared" si="34"/>
        <v>96343.994999999995</v>
      </c>
      <c r="BZ51" s="544" t="s">
        <v>357</v>
      </c>
      <c r="CA51" s="545">
        <v>331652234</v>
      </c>
      <c r="CB51" s="545">
        <v>198771500</v>
      </c>
      <c r="CC51" s="545">
        <v>198771500</v>
      </c>
      <c r="CD51" s="545">
        <v>132880734</v>
      </c>
      <c r="CE51" s="545">
        <f t="shared" si="35"/>
        <v>331652.234</v>
      </c>
      <c r="CF51" s="545">
        <f t="shared" si="36"/>
        <v>198771.5</v>
      </c>
      <c r="CG51" s="545">
        <f t="shared" si="37"/>
        <v>198771.5</v>
      </c>
      <c r="CH51" s="545">
        <f t="shared" si="38"/>
        <v>132880.734</v>
      </c>
      <c r="CK51" s="547" t="s">
        <v>361</v>
      </c>
      <c r="CL51" s="546">
        <v>87484604</v>
      </c>
      <c r="CM51" s="546">
        <f t="shared" si="39"/>
        <v>87484.604000000007</v>
      </c>
      <c r="CP51" s="547" t="s">
        <v>357</v>
      </c>
      <c r="CQ51" s="546">
        <v>374384500</v>
      </c>
      <c r="CR51" s="546">
        <v>233166656</v>
      </c>
      <c r="CS51" s="546">
        <v>233166656</v>
      </c>
      <c r="CT51" s="546">
        <v>141217844</v>
      </c>
      <c r="CU51" s="546">
        <f t="shared" si="64"/>
        <v>374384.5</v>
      </c>
      <c r="CV51" s="546">
        <f t="shared" si="65"/>
        <v>233166.65599999999</v>
      </c>
      <c r="CW51" s="546">
        <f t="shared" si="66"/>
        <v>233166.65599999999</v>
      </c>
      <c r="CX51" s="546">
        <f t="shared" si="67"/>
        <v>141217.84400000001</v>
      </c>
      <c r="CZ51" s="547" t="s">
        <v>361</v>
      </c>
      <c r="DA51" s="546">
        <v>82145582</v>
      </c>
      <c r="DB51" s="546">
        <f t="shared" si="40"/>
        <v>82145.581999999995</v>
      </c>
      <c r="DE51" s="544" t="s">
        <v>357</v>
      </c>
      <c r="DF51" s="545">
        <v>373268500</v>
      </c>
      <c r="DG51" s="545">
        <v>271740028</v>
      </c>
      <c r="DH51" s="545">
        <v>271740028</v>
      </c>
      <c r="DI51" s="545">
        <v>101528472</v>
      </c>
      <c r="DJ51" s="546">
        <f t="shared" si="41"/>
        <v>373268.5</v>
      </c>
      <c r="DK51" s="546">
        <f t="shared" si="42"/>
        <v>271740.02799999999</v>
      </c>
      <c r="DL51" s="546">
        <f t="shared" si="43"/>
        <v>271740.02799999999</v>
      </c>
      <c r="DM51" s="546">
        <f t="shared" si="44"/>
        <v>101528.47199999999</v>
      </c>
      <c r="DP51" s="544" t="s">
        <v>361</v>
      </c>
      <c r="DQ51" s="545">
        <v>81564013</v>
      </c>
      <c r="DR51" s="546">
        <f t="shared" si="45"/>
        <v>81564.013000000006</v>
      </c>
      <c r="DT51" s="544" t="s">
        <v>357</v>
      </c>
      <c r="DU51" s="545">
        <v>372949500</v>
      </c>
      <c r="DV51" s="545">
        <v>303128043</v>
      </c>
      <c r="DW51" s="545">
        <v>303128043</v>
      </c>
      <c r="DX51" s="545">
        <v>69821457</v>
      </c>
      <c r="DY51" s="546">
        <f t="shared" si="46"/>
        <v>372949.5</v>
      </c>
      <c r="DZ51" s="546">
        <f t="shared" si="47"/>
        <v>303128.04300000001</v>
      </c>
      <c r="EA51" s="546">
        <f t="shared" si="48"/>
        <v>303128.04300000001</v>
      </c>
      <c r="EB51" s="546">
        <f t="shared" si="49"/>
        <v>69821.456999999995</v>
      </c>
      <c r="EE51" s="547" t="s">
        <v>367</v>
      </c>
      <c r="EF51" s="546">
        <v>2416373</v>
      </c>
      <c r="EG51" s="548">
        <f t="shared" si="50"/>
        <v>2416.373</v>
      </c>
      <c r="EI51" s="547" t="s">
        <v>356</v>
      </c>
      <c r="EJ51" s="546">
        <v>673260000</v>
      </c>
      <c r="EK51" s="546">
        <v>563286303</v>
      </c>
      <c r="EL51" s="546">
        <v>563286303</v>
      </c>
      <c r="EM51" s="548">
        <f t="shared" si="51"/>
        <v>673260</v>
      </c>
      <c r="EN51" s="548">
        <f t="shared" si="52"/>
        <v>563286.30299999996</v>
      </c>
      <c r="EO51" s="548">
        <f t="shared" si="53"/>
        <v>563286.30299999996</v>
      </c>
      <c r="ER51" s="544" t="s">
        <v>555</v>
      </c>
      <c r="ES51" s="545">
        <v>473763</v>
      </c>
      <c r="ET51" s="546">
        <f t="shared" si="54"/>
        <v>473.76299999999998</v>
      </c>
      <c r="EW51" s="544" t="s">
        <v>356</v>
      </c>
      <c r="EX51" s="545">
        <v>0</v>
      </c>
      <c r="EY51" s="545">
        <v>673260000</v>
      </c>
      <c r="EZ51" s="545">
        <v>563286303</v>
      </c>
      <c r="FA51" s="545">
        <v>563286303</v>
      </c>
      <c r="FB51" s="545">
        <v>109973697</v>
      </c>
      <c r="FC51" s="546">
        <f t="shared" si="55"/>
        <v>0</v>
      </c>
      <c r="FD51" s="546">
        <f t="shared" si="56"/>
        <v>673260</v>
      </c>
      <c r="FE51" s="546">
        <f t="shared" si="57"/>
        <v>563286.30299999996</v>
      </c>
      <c r="FF51" s="546">
        <f t="shared" si="58"/>
        <v>563286.30299999996</v>
      </c>
      <c r="FG51" s="546">
        <f t="shared" si="59"/>
        <v>109973.697</v>
      </c>
      <c r="FJ51" s="547" t="s">
        <v>585</v>
      </c>
      <c r="FK51" s="546">
        <v>9782044</v>
      </c>
      <c r="FL51" s="548">
        <f t="shared" si="60"/>
        <v>9782.0439999999999</v>
      </c>
      <c r="FN51" s="549" t="s">
        <v>357</v>
      </c>
      <c r="FO51" s="550">
        <v>452399516</v>
      </c>
      <c r="FP51" s="550">
        <v>418262137</v>
      </c>
      <c r="FQ51" s="550">
        <v>418262137</v>
      </c>
      <c r="FR51" s="550">
        <f t="shared" si="61"/>
        <v>452399.516</v>
      </c>
      <c r="FS51" s="550">
        <f t="shared" si="62"/>
        <v>418262.13699999999</v>
      </c>
      <c r="FT51" s="550">
        <f t="shared" si="63"/>
        <v>418262.13699999999</v>
      </c>
    </row>
    <row r="52" spans="1:176" ht="15" customHeight="1" x14ac:dyDescent="0.25">
      <c r="A52" s="890" t="s">
        <v>890</v>
      </c>
      <c r="B52" s="544" t="s">
        <v>548</v>
      </c>
      <c r="C52" s="545">
        <v>0</v>
      </c>
      <c r="D52" s="545">
        <v>56034000</v>
      </c>
      <c r="E52" s="545">
        <v>1007707</v>
      </c>
      <c r="F52" s="545">
        <v>55026293</v>
      </c>
      <c r="G52" s="545">
        <v>1007707</v>
      </c>
      <c r="H52" s="546">
        <f t="shared" si="10"/>
        <v>58387.428</v>
      </c>
      <c r="I52" s="546">
        <f t="shared" si="11"/>
        <v>1050.030694</v>
      </c>
      <c r="J52" s="546">
        <f t="shared" si="12"/>
        <v>57337.397305999999</v>
      </c>
      <c r="K52" s="546">
        <f t="shared" si="13"/>
        <v>1050.030694</v>
      </c>
      <c r="O52" s="544" t="s">
        <v>373</v>
      </c>
      <c r="P52" s="545">
        <v>9656336</v>
      </c>
      <c r="Q52" s="546">
        <f t="shared" si="14"/>
        <v>10061.902112</v>
      </c>
      <c r="S52" s="544" t="s">
        <v>548</v>
      </c>
      <c r="T52" s="545">
        <v>56034000</v>
      </c>
      <c r="U52" s="545">
        <v>5914863</v>
      </c>
      <c r="V52" s="545">
        <v>5914863</v>
      </c>
      <c r="W52" s="545">
        <v>50119137</v>
      </c>
      <c r="X52" s="546">
        <f t="shared" si="15"/>
        <v>58387.428</v>
      </c>
      <c r="Y52" s="546">
        <f t="shared" si="16"/>
        <v>6163.2872460000008</v>
      </c>
      <c r="Z52" s="546">
        <f t="shared" si="17"/>
        <v>6163.2872460000008</v>
      </c>
      <c r="AA52" s="546">
        <f t="shared" si="18"/>
        <v>52224.140754000007</v>
      </c>
      <c r="AC52" s="544" t="s">
        <v>551</v>
      </c>
      <c r="AD52" s="545">
        <v>1332602</v>
      </c>
      <c r="AE52" s="546">
        <f t="shared" si="19"/>
        <v>1332.6020000000001</v>
      </c>
      <c r="AG52" s="544" t="s">
        <v>547</v>
      </c>
      <c r="AH52" s="545">
        <v>203143500</v>
      </c>
      <c r="AI52" s="545">
        <v>56837801</v>
      </c>
      <c r="AJ52" s="545">
        <v>56837801</v>
      </c>
      <c r="AK52" s="545">
        <v>146305699</v>
      </c>
      <c r="AL52" s="545">
        <f t="shared" si="20"/>
        <v>203143.5</v>
      </c>
      <c r="AM52" s="545">
        <f t="shared" si="21"/>
        <v>56837.800999999999</v>
      </c>
      <c r="AN52" s="545">
        <f t="shared" si="22"/>
        <v>56837.800999999999</v>
      </c>
      <c r="AO52" s="545">
        <f t="shared" si="23"/>
        <v>146305.69899999999</v>
      </c>
      <c r="AR52" s="544" t="s">
        <v>371</v>
      </c>
      <c r="AS52" s="545">
        <v>2644061</v>
      </c>
      <c r="AT52" s="545">
        <f t="shared" si="24"/>
        <v>2644.0610000000001</v>
      </c>
      <c r="AV52" s="544" t="s">
        <v>547</v>
      </c>
      <c r="AW52" s="545">
        <v>203143500</v>
      </c>
      <c r="AX52" s="545">
        <v>75701443</v>
      </c>
      <c r="AY52" s="545">
        <v>75701443</v>
      </c>
      <c r="AZ52" s="545">
        <v>127442057</v>
      </c>
      <c r="BA52" s="546">
        <f t="shared" si="25"/>
        <v>203143.5</v>
      </c>
      <c r="BB52" s="546">
        <f t="shared" si="26"/>
        <v>75701.442999999999</v>
      </c>
      <c r="BC52" s="546">
        <f t="shared" si="27"/>
        <v>75701.442999999999</v>
      </c>
      <c r="BD52" s="546">
        <f t="shared" si="28"/>
        <v>127442.057</v>
      </c>
      <c r="BG52" s="544" t="s">
        <v>375</v>
      </c>
      <c r="BH52" s="545">
        <v>1250512</v>
      </c>
      <c r="BI52" s="545">
        <f t="shared" si="29"/>
        <v>1250.5119999999999</v>
      </c>
      <c r="BK52" s="544" t="s">
        <v>547</v>
      </c>
      <c r="BL52" s="545">
        <v>203143500</v>
      </c>
      <c r="BM52" s="545">
        <v>94565085</v>
      </c>
      <c r="BN52" s="545">
        <v>94565085</v>
      </c>
      <c r="BO52" s="545">
        <v>108578415</v>
      </c>
      <c r="BP52" s="545">
        <f t="shared" si="30"/>
        <v>203143.5</v>
      </c>
      <c r="BQ52" s="545">
        <f t="shared" si="31"/>
        <v>94565.085000000006</v>
      </c>
      <c r="BR52" s="545">
        <f t="shared" si="32"/>
        <v>94565.085000000006</v>
      </c>
      <c r="BS52" s="545">
        <f t="shared" si="33"/>
        <v>108578.41499999999</v>
      </c>
      <c r="BV52" s="544" t="s">
        <v>549</v>
      </c>
      <c r="BW52" s="545">
        <v>83491542</v>
      </c>
      <c r="BX52" s="546">
        <f t="shared" si="34"/>
        <v>83491.542000000001</v>
      </c>
      <c r="BZ52" s="544" t="s">
        <v>547</v>
      </c>
      <c r="CA52" s="545">
        <v>203143500</v>
      </c>
      <c r="CB52" s="545">
        <v>116565103</v>
      </c>
      <c r="CC52" s="545">
        <v>116565103</v>
      </c>
      <c r="CD52" s="545">
        <v>86578397</v>
      </c>
      <c r="CE52" s="545">
        <f t="shared" si="35"/>
        <v>203143.5</v>
      </c>
      <c r="CF52" s="545">
        <f t="shared" si="36"/>
        <v>116565.103</v>
      </c>
      <c r="CG52" s="545">
        <f t="shared" si="37"/>
        <v>116565.103</v>
      </c>
      <c r="CH52" s="545">
        <f t="shared" si="38"/>
        <v>86578.396999999997</v>
      </c>
      <c r="CK52" s="547" t="s">
        <v>549</v>
      </c>
      <c r="CL52" s="546">
        <v>81584712</v>
      </c>
      <c r="CM52" s="546">
        <f t="shared" si="39"/>
        <v>81584.712</v>
      </c>
      <c r="CP52" s="547" t="s">
        <v>547</v>
      </c>
      <c r="CQ52" s="546">
        <v>203143500</v>
      </c>
      <c r="CR52" s="546">
        <v>137727592</v>
      </c>
      <c r="CS52" s="546">
        <v>137727592</v>
      </c>
      <c r="CT52" s="546">
        <v>65415908</v>
      </c>
      <c r="CU52" s="546">
        <f t="shared" si="64"/>
        <v>203143.5</v>
      </c>
      <c r="CV52" s="546">
        <f t="shared" si="65"/>
        <v>137727.592</v>
      </c>
      <c r="CW52" s="546">
        <f t="shared" si="66"/>
        <v>137727.592</v>
      </c>
      <c r="CX52" s="546">
        <f t="shared" si="67"/>
        <v>65415.908000000003</v>
      </c>
      <c r="CZ52" s="547" t="s">
        <v>549</v>
      </c>
      <c r="DA52" s="546">
        <v>78348794</v>
      </c>
      <c r="DB52" s="546">
        <f t="shared" si="40"/>
        <v>78348.793999999994</v>
      </c>
      <c r="DE52" s="544" t="s">
        <v>547</v>
      </c>
      <c r="DF52" s="545">
        <v>203143500</v>
      </c>
      <c r="DG52" s="545">
        <v>158677657</v>
      </c>
      <c r="DH52" s="545">
        <v>158677657</v>
      </c>
      <c r="DI52" s="545">
        <v>44465843</v>
      </c>
      <c r="DJ52" s="546">
        <f t="shared" si="41"/>
        <v>203143.5</v>
      </c>
      <c r="DK52" s="546">
        <f t="shared" si="42"/>
        <v>158677.65700000001</v>
      </c>
      <c r="DL52" s="546">
        <f t="shared" si="43"/>
        <v>158677.65700000001</v>
      </c>
      <c r="DM52" s="546">
        <f t="shared" si="44"/>
        <v>44465.843000000001</v>
      </c>
      <c r="DP52" s="544" t="s">
        <v>549</v>
      </c>
      <c r="DQ52" s="545">
        <v>80125385</v>
      </c>
      <c r="DR52" s="546">
        <f t="shared" si="45"/>
        <v>80125.384999999995</v>
      </c>
      <c r="DT52" s="544" t="s">
        <v>547</v>
      </c>
      <c r="DU52" s="545">
        <v>203143500</v>
      </c>
      <c r="DV52" s="545">
        <v>179434487</v>
      </c>
      <c r="DW52" s="545">
        <v>179434487</v>
      </c>
      <c r="DX52" s="545">
        <v>23709013</v>
      </c>
      <c r="DY52" s="546">
        <f t="shared" si="46"/>
        <v>203143.5</v>
      </c>
      <c r="DZ52" s="546">
        <f t="shared" si="47"/>
        <v>179434.48699999999</v>
      </c>
      <c r="EA52" s="546">
        <f t="shared" si="48"/>
        <v>179434.48699999999</v>
      </c>
      <c r="EB52" s="546">
        <f t="shared" si="49"/>
        <v>23709.012999999999</v>
      </c>
      <c r="EE52" s="547" t="s">
        <v>370</v>
      </c>
      <c r="EF52" s="546">
        <v>8100</v>
      </c>
      <c r="EG52" s="548">
        <f t="shared" si="50"/>
        <v>8.1</v>
      </c>
      <c r="EI52" s="547" t="s">
        <v>357</v>
      </c>
      <c r="EJ52" s="546">
        <v>372055500</v>
      </c>
      <c r="EK52" s="546">
        <v>335197248</v>
      </c>
      <c r="EL52" s="546">
        <v>335197248</v>
      </c>
      <c r="EM52" s="548">
        <f t="shared" si="51"/>
        <v>372055.5</v>
      </c>
      <c r="EN52" s="548">
        <f t="shared" si="52"/>
        <v>335197.24800000002</v>
      </c>
      <c r="EO52" s="548">
        <f t="shared" si="53"/>
        <v>335197.24800000002</v>
      </c>
      <c r="ER52" s="544" t="s">
        <v>556</v>
      </c>
      <c r="ES52" s="545">
        <v>1474481</v>
      </c>
      <c r="ET52" s="546">
        <f t="shared" si="54"/>
        <v>1474.481</v>
      </c>
      <c r="EW52" s="544" t="s">
        <v>357</v>
      </c>
      <c r="EX52" s="545">
        <v>0</v>
      </c>
      <c r="EY52" s="545">
        <v>433892500</v>
      </c>
      <c r="EZ52" s="545">
        <v>372570684</v>
      </c>
      <c r="FA52" s="545">
        <v>372570684</v>
      </c>
      <c r="FB52" s="545">
        <v>61321816</v>
      </c>
      <c r="FC52" s="546">
        <f t="shared" si="55"/>
        <v>0</v>
      </c>
      <c r="FD52" s="546">
        <f t="shared" si="56"/>
        <v>433892.5</v>
      </c>
      <c r="FE52" s="546">
        <f t="shared" si="57"/>
        <v>372570.68400000001</v>
      </c>
      <c r="FF52" s="546">
        <f t="shared" si="58"/>
        <v>372570.68400000001</v>
      </c>
      <c r="FG52" s="546">
        <f t="shared" si="59"/>
        <v>61321.815999999999</v>
      </c>
      <c r="FJ52" s="547" t="s">
        <v>358</v>
      </c>
      <c r="FK52" s="546">
        <v>78149953</v>
      </c>
      <c r="FL52" s="548">
        <f t="shared" si="60"/>
        <v>78149.952999999994</v>
      </c>
      <c r="FN52" s="549" t="s">
        <v>547</v>
      </c>
      <c r="FO52" s="550">
        <v>241369446</v>
      </c>
      <c r="FP52" s="550">
        <v>241367908</v>
      </c>
      <c r="FQ52" s="550">
        <v>241367908</v>
      </c>
      <c r="FR52" s="550">
        <f t="shared" si="61"/>
        <v>241369.446</v>
      </c>
      <c r="FS52" s="550">
        <f t="shared" si="62"/>
        <v>241367.908</v>
      </c>
      <c r="FT52" s="550">
        <f t="shared" si="63"/>
        <v>241367.908</v>
      </c>
    </row>
    <row r="53" spans="1:176" ht="15" customHeight="1" x14ac:dyDescent="0.25">
      <c r="A53" s="890" t="s">
        <v>890</v>
      </c>
      <c r="B53" s="544" t="s">
        <v>585</v>
      </c>
      <c r="C53" s="545">
        <v>0</v>
      </c>
      <c r="D53" s="545">
        <v>73993006</v>
      </c>
      <c r="E53" s="545">
        <v>7950190</v>
      </c>
      <c r="F53" s="545">
        <v>66042816</v>
      </c>
      <c r="G53" s="545">
        <v>7950190</v>
      </c>
      <c r="H53" s="546">
        <f t="shared" si="10"/>
        <v>77100.712251999998</v>
      </c>
      <c r="I53" s="546">
        <f t="shared" si="11"/>
        <v>8284.0979800000005</v>
      </c>
      <c r="J53" s="546">
        <f t="shared" si="12"/>
        <v>68816.614272000006</v>
      </c>
      <c r="K53" s="546">
        <f t="shared" si="13"/>
        <v>8284.0979800000005</v>
      </c>
      <c r="O53" s="544" t="s">
        <v>374</v>
      </c>
      <c r="P53" s="545">
        <v>1727733</v>
      </c>
      <c r="Q53" s="546">
        <f t="shared" si="14"/>
        <v>1800.2977860000001</v>
      </c>
      <c r="S53" s="544" t="s">
        <v>585</v>
      </c>
      <c r="T53" s="545">
        <v>70493000</v>
      </c>
      <c r="U53" s="545">
        <v>14974643</v>
      </c>
      <c r="V53" s="545">
        <v>14974643</v>
      </c>
      <c r="W53" s="545">
        <v>55518357</v>
      </c>
      <c r="X53" s="546">
        <f t="shared" si="15"/>
        <v>73453.706000000006</v>
      </c>
      <c r="Y53" s="546">
        <f t="shared" si="16"/>
        <v>15603.578006</v>
      </c>
      <c r="Z53" s="546">
        <f t="shared" si="17"/>
        <v>15603.578006</v>
      </c>
      <c r="AA53" s="546">
        <f t="shared" si="18"/>
        <v>57850.127994000002</v>
      </c>
      <c r="AC53" s="544" t="s">
        <v>362</v>
      </c>
      <c r="AD53" s="545">
        <v>15456563</v>
      </c>
      <c r="AE53" s="546">
        <f t="shared" si="19"/>
        <v>15456.563</v>
      </c>
      <c r="AG53" s="544" t="s">
        <v>548</v>
      </c>
      <c r="AH53" s="545">
        <v>56034000</v>
      </c>
      <c r="AI53" s="545">
        <v>9345652</v>
      </c>
      <c r="AJ53" s="545">
        <v>9345652</v>
      </c>
      <c r="AK53" s="545">
        <v>46688348</v>
      </c>
      <c r="AL53" s="545">
        <f t="shared" si="20"/>
        <v>56034</v>
      </c>
      <c r="AM53" s="545">
        <f t="shared" si="21"/>
        <v>9345.652</v>
      </c>
      <c r="AN53" s="545">
        <f t="shared" si="22"/>
        <v>9345.652</v>
      </c>
      <c r="AO53" s="545">
        <f t="shared" si="23"/>
        <v>46688.347999999998</v>
      </c>
      <c r="AR53" s="544" t="s">
        <v>373</v>
      </c>
      <c r="AS53" s="545">
        <v>6181011</v>
      </c>
      <c r="AT53" s="545">
        <f t="shared" si="24"/>
        <v>6181.0110000000004</v>
      </c>
      <c r="AV53" s="544" t="s">
        <v>548</v>
      </c>
      <c r="AW53" s="545">
        <v>56034000</v>
      </c>
      <c r="AX53" s="545">
        <v>12511410</v>
      </c>
      <c r="AY53" s="545">
        <v>12511410</v>
      </c>
      <c r="AZ53" s="545">
        <v>43522590</v>
      </c>
      <c r="BA53" s="546">
        <f t="shared" si="25"/>
        <v>56034</v>
      </c>
      <c r="BB53" s="546">
        <f t="shared" si="26"/>
        <v>12511.41</v>
      </c>
      <c r="BC53" s="546">
        <f t="shared" si="27"/>
        <v>12511.41</v>
      </c>
      <c r="BD53" s="546">
        <f t="shared" si="28"/>
        <v>43522.59</v>
      </c>
      <c r="BG53" s="544" t="s">
        <v>377</v>
      </c>
      <c r="BH53" s="545">
        <v>902678</v>
      </c>
      <c r="BI53" s="545">
        <f t="shared" si="29"/>
        <v>902.678</v>
      </c>
      <c r="BK53" s="544" t="s">
        <v>548</v>
      </c>
      <c r="BL53" s="545">
        <v>56034000</v>
      </c>
      <c r="BM53" s="545">
        <v>16052233</v>
      </c>
      <c r="BN53" s="545">
        <v>16052233</v>
      </c>
      <c r="BO53" s="545">
        <v>39981767</v>
      </c>
      <c r="BP53" s="545">
        <f t="shared" si="30"/>
        <v>56034</v>
      </c>
      <c r="BQ53" s="545">
        <f t="shared" si="31"/>
        <v>16052.233</v>
      </c>
      <c r="BR53" s="545">
        <f t="shared" si="32"/>
        <v>16052.233</v>
      </c>
      <c r="BS53" s="545">
        <f t="shared" si="33"/>
        <v>39981.767</v>
      </c>
      <c r="BV53" s="544" t="s">
        <v>550</v>
      </c>
      <c r="BW53" s="545">
        <v>82042543</v>
      </c>
      <c r="BX53" s="546">
        <f t="shared" si="34"/>
        <v>82042.543000000005</v>
      </c>
      <c r="BZ53" s="544" t="s">
        <v>548</v>
      </c>
      <c r="CA53" s="545">
        <v>56034000</v>
      </c>
      <c r="CB53" s="545">
        <v>19353006</v>
      </c>
      <c r="CC53" s="545">
        <v>19353006</v>
      </c>
      <c r="CD53" s="545">
        <v>36680994</v>
      </c>
      <c r="CE53" s="545">
        <f t="shared" si="35"/>
        <v>56034</v>
      </c>
      <c r="CF53" s="545">
        <f t="shared" si="36"/>
        <v>19353.006000000001</v>
      </c>
      <c r="CG53" s="545">
        <f t="shared" si="37"/>
        <v>19353.006000000001</v>
      </c>
      <c r="CH53" s="545">
        <f t="shared" si="38"/>
        <v>36680.993999999999</v>
      </c>
      <c r="CK53" s="547" t="s">
        <v>550</v>
      </c>
      <c r="CL53" s="546">
        <v>80537138</v>
      </c>
      <c r="CM53" s="546">
        <f t="shared" si="39"/>
        <v>80537.138000000006</v>
      </c>
      <c r="CP53" s="547" t="s">
        <v>548</v>
      </c>
      <c r="CQ53" s="546">
        <v>56034000</v>
      </c>
      <c r="CR53" s="546">
        <v>22216851</v>
      </c>
      <c r="CS53" s="546">
        <v>22216851</v>
      </c>
      <c r="CT53" s="546">
        <v>33817149</v>
      </c>
      <c r="CU53" s="546">
        <f t="shared" si="64"/>
        <v>56034</v>
      </c>
      <c r="CV53" s="546">
        <f t="shared" si="65"/>
        <v>22216.850999999999</v>
      </c>
      <c r="CW53" s="546">
        <f t="shared" si="66"/>
        <v>22216.850999999999</v>
      </c>
      <c r="CX53" s="546">
        <f t="shared" si="67"/>
        <v>33817.148999999998</v>
      </c>
      <c r="CZ53" s="547" t="s">
        <v>550</v>
      </c>
      <c r="DA53" s="546">
        <v>77309040</v>
      </c>
      <c r="DB53" s="546">
        <f t="shared" si="40"/>
        <v>77309.039999999994</v>
      </c>
      <c r="DE53" s="544" t="s">
        <v>548</v>
      </c>
      <c r="DF53" s="545">
        <v>56034000</v>
      </c>
      <c r="DG53" s="545">
        <v>25912826</v>
      </c>
      <c r="DH53" s="545">
        <v>25912826</v>
      </c>
      <c r="DI53" s="545">
        <v>30121174</v>
      </c>
      <c r="DJ53" s="546">
        <f t="shared" si="41"/>
        <v>56034</v>
      </c>
      <c r="DK53" s="546">
        <f t="shared" si="42"/>
        <v>25912.826000000001</v>
      </c>
      <c r="DL53" s="546">
        <f t="shared" si="43"/>
        <v>25912.826000000001</v>
      </c>
      <c r="DM53" s="546">
        <f t="shared" si="44"/>
        <v>30121.173999999999</v>
      </c>
      <c r="DP53" s="544" t="s">
        <v>550</v>
      </c>
      <c r="DQ53" s="545">
        <v>79602877</v>
      </c>
      <c r="DR53" s="546">
        <f t="shared" si="45"/>
        <v>79602.876999999993</v>
      </c>
      <c r="DT53" s="544" t="s">
        <v>548</v>
      </c>
      <c r="DU53" s="545">
        <v>56034000</v>
      </c>
      <c r="DV53" s="545">
        <v>29756573</v>
      </c>
      <c r="DW53" s="545">
        <v>29756573</v>
      </c>
      <c r="DX53" s="545">
        <v>26277427</v>
      </c>
      <c r="DY53" s="546">
        <f t="shared" si="46"/>
        <v>56034</v>
      </c>
      <c r="DZ53" s="546">
        <f t="shared" si="47"/>
        <v>29756.573</v>
      </c>
      <c r="EA53" s="546">
        <f t="shared" si="48"/>
        <v>29756.573</v>
      </c>
      <c r="EB53" s="546">
        <f t="shared" si="49"/>
        <v>26277.427</v>
      </c>
      <c r="EE53" s="547" t="s">
        <v>555</v>
      </c>
      <c r="EF53" s="546">
        <v>432857</v>
      </c>
      <c r="EG53" s="548">
        <f t="shared" si="50"/>
        <v>432.85700000000003</v>
      </c>
      <c r="EI53" s="547" t="s">
        <v>547</v>
      </c>
      <c r="EJ53" s="546">
        <v>203143500</v>
      </c>
      <c r="EK53" s="546">
        <v>200367847</v>
      </c>
      <c r="EL53" s="546">
        <v>200367847</v>
      </c>
      <c r="EM53" s="548">
        <f t="shared" si="51"/>
        <v>203143.5</v>
      </c>
      <c r="EN53" s="548">
        <f t="shared" si="52"/>
        <v>200367.84700000001</v>
      </c>
      <c r="EO53" s="548">
        <f t="shared" si="53"/>
        <v>200367.84700000001</v>
      </c>
      <c r="ER53" s="544" t="s">
        <v>557</v>
      </c>
      <c r="ES53" s="545">
        <v>763564</v>
      </c>
      <c r="ET53" s="546">
        <f t="shared" si="54"/>
        <v>763.56399999999996</v>
      </c>
      <c r="EW53" s="544" t="s">
        <v>547</v>
      </c>
      <c r="EX53" s="545">
        <v>0</v>
      </c>
      <c r="EY53" s="545">
        <v>223143500</v>
      </c>
      <c r="EZ53" s="545">
        <v>221124677</v>
      </c>
      <c r="FA53" s="545">
        <v>221124677</v>
      </c>
      <c r="FB53" s="545">
        <v>2018823</v>
      </c>
      <c r="FC53" s="546">
        <f t="shared" si="55"/>
        <v>0</v>
      </c>
      <c r="FD53" s="546">
        <f t="shared" si="56"/>
        <v>223143.5</v>
      </c>
      <c r="FE53" s="546">
        <f t="shared" si="57"/>
        <v>221124.677</v>
      </c>
      <c r="FF53" s="546">
        <f t="shared" si="58"/>
        <v>221124.677</v>
      </c>
      <c r="FG53" s="546">
        <f t="shared" si="59"/>
        <v>2018.8230000000001</v>
      </c>
      <c r="FJ53" s="547" t="s">
        <v>359</v>
      </c>
      <c r="FK53" s="546">
        <v>16044929</v>
      </c>
      <c r="FL53" s="548">
        <f t="shared" si="60"/>
        <v>16044.929</v>
      </c>
      <c r="FN53" s="549" t="s">
        <v>548</v>
      </c>
      <c r="FO53" s="550">
        <v>56607000</v>
      </c>
      <c r="FP53" s="550">
        <v>55479835</v>
      </c>
      <c r="FQ53" s="550">
        <v>55479835</v>
      </c>
      <c r="FR53" s="550">
        <f t="shared" si="61"/>
        <v>56607</v>
      </c>
      <c r="FS53" s="550">
        <f t="shared" si="62"/>
        <v>55479.834999999999</v>
      </c>
      <c r="FT53" s="550">
        <f t="shared" si="63"/>
        <v>55479.834999999999</v>
      </c>
    </row>
    <row r="54" spans="1:176" ht="15" customHeight="1" x14ac:dyDescent="0.25">
      <c r="A54" s="890" t="s">
        <v>890</v>
      </c>
      <c r="B54" s="544" t="s">
        <v>827</v>
      </c>
      <c r="C54" s="545">
        <v>0</v>
      </c>
      <c r="D54" s="545">
        <v>700000</v>
      </c>
      <c r="E54" s="545">
        <v>0</v>
      </c>
      <c r="F54" s="545">
        <v>700000</v>
      </c>
      <c r="G54" s="545">
        <v>0</v>
      </c>
      <c r="H54" s="546">
        <f t="shared" si="10"/>
        <v>729.4</v>
      </c>
      <c r="I54" s="546">
        <f t="shared" si="11"/>
        <v>0</v>
      </c>
      <c r="J54" s="546">
        <f t="shared" si="12"/>
        <v>729.4</v>
      </c>
      <c r="K54" s="546">
        <f t="shared" si="13"/>
        <v>0</v>
      </c>
      <c r="O54" s="544" t="s">
        <v>375</v>
      </c>
      <c r="P54" s="545">
        <v>1155064</v>
      </c>
      <c r="Q54" s="546">
        <f t="shared" si="14"/>
        <v>1203.5766880000001</v>
      </c>
      <c r="S54" s="544" t="s">
        <v>827</v>
      </c>
      <c r="T54" s="545">
        <v>700000</v>
      </c>
      <c r="U54" s="545">
        <v>0</v>
      </c>
      <c r="V54" s="545">
        <v>0</v>
      </c>
      <c r="W54" s="545">
        <v>700000</v>
      </c>
      <c r="X54" s="546">
        <f t="shared" si="15"/>
        <v>729.4</v>
      </c>
      <c r="Y54" s="546">
        <f t="shared" si="16"/>
        <v>0</v>
      </c>
      <c r="Z54" s="546">
        <f t="shared" si="17"/>
        <v>0</v>
      </c>
      <c r="AA54" s="546">
        <f t="shared" si="18"/>
        <v>729.4</v>
      </c>
      <c r="AC54" s="544" t="s">
        <v>364</v>
      </c>
      <c r="AD54" s="545">
        <v>336048790</v>
      </c>
      <c r="AE54" s="546">
        <f t="shared" si="19"/>
        <v>336048.79</v>
      </c>
      <c r="AG54" s="544" t="s">
        <v>585</v>
      </c>
      <c r="AH54" s="545">
        <v>70493000</v>
      </c>
      <c r="AI54" s="545">
        <v>23559298</v>
      </c>
      <c r="AJ54" s="545">
        <v>23559298</v>
      </c>
      <c r="AK54" s="545">
        <v>46933702</v>
      </c>
      <c r="AL54" s="545">
        <f t="shared" si="20"/>
        <v>70493</v>
      </c>
      <c r="AM54" s="545">
        <f t="shared" si="21"/>
        <v>23559.297999999999</v>
      </c>
      <c r="AN54" s="545">
        <f t="shared" si="22"/>
        <v>23559.297999999999</v>
      </c>
      <c r="AO54" s="545">
        <f t="shared" si="23"/>
        <v>46933.701999999997</v>
      </c>
      <c r="AR54" s="544" t="s">
        <v>374</v>
      </c>
      <c r="AS54" s="545">
        <v>844417</v>
      </c>
      <c r="AT54" s="545">
        <f t="shared" si="24"/>
        <v>844.41700000000003</v>
      </c>
      <c r="AV54" s="544" t="s">
        <v>585</v>
      </c>
      <c r="AW54" s="545">
        <v>70793000</v>
      </c>
      <c r="AX54" s="545">
        <v>38933432</v>
      </c>
      <c r="AY54" s="545">
        <v>38933432</v>
      </c>
      <c r="AZ54" s="545">
        <v>31859568</v>
      </c>
      <c r="BA54" s="546">
        <f t="shared" si="25"/>
        <v>70793</v>
      </c>
      <c r="BB54" s="546">
        <f t="shared" si="26"/>
        <v>38933.432000000001</v>
      </c>
      <c r="BC54" s="546">
        <f t="shared" si="27"/>
        <v>38933.432000000001</v>
      </c>
      <c r="BD54" s="546">
        <f t="shared" si="28"/>
        <v>31859.567999999999</v>
      </c>
      <c r="BG54" s="544" t="s">
        <v>380</v>
      </c>
      <c r="BH54" s="545">
        <v>474317</v>
      </c>
      <c r="BI54" s="545">
        <f t="shared" si="29"/>
        <v>474.31700000000001</v>
      </c>
      <c r="BK54" s="544" t="s">
        <v>585</v>
      </c>
      <c r="BL54" s="545">
        <v>71493000</v>
      </c>
      <c r="BM54" s="545">
        <v>49726128</v>
      </c>
      <c r="BN54" s="545">
        <v>49726128</v>
      </c>
      <c r="BO54" s="545">
        <v>21766872</v>
      </c>
      <c r="BP54" s="545">
        <f t="shared" si="30"/>
        <v>71493</v>
      </c>
      <c r="BQ54" s="545">
        <f t="shared" si="31"/>
        <v>49726.127999999997</v>
      </c>
      <c r="BR54" s="545">
        <f t="shared" si="32"/>
        <v>49726.127999999997</v>
      </c>
      <c r="BS54" s="545">
        <f t="shared" si="33"/>
        <v>21766.871999999999</v>
      </c>
      <c r="BV54" s="544" t="s">
        <v>551</v>
      </c>
      <c r="BW54" s="545">
        <v>1448999</v>
      </c>
      <c r="BX54" s="546">
        <f t="shared" si="34"/>
        <v>1448.999</v>
      </c>
      <c r="BZ54" s="544" t="s">
        <v>585</v>
      </c>
      <c r="CA54" s="545">
        <v>71774734</v>
      </c>
      <c r="CB54" s="545">
        <v>62853391</v>
      </c>
      <c r="CC54" s="545">
        <v>62853391</v>
      </c>
      <c r="CD54" s="545">
        <v>8921343</v>
      </c>
      <c r="CE54" s="545">
        <f t="shared" si="35"/>
        <v>71774.733999999997</v>
      </c>
      <c r="CF54" s="545">
        <f t="shared" si="36"/>
        <v>62853.391000000003</v>
      </c>
      <c r="CG54" s="545">
        <f t="shared" si="37"/>
        <v>62853.391000000003</v>
      </c>
      <c r="CH54" s="545">
        <f t="shared" si="38"/>
        <v>8921.3430000000008</v>
      </c>
      <c r="CK54" s="547" t="s">
        <v>551</v>
      </c>
      <c r="CL54" s="546">
        <v>1047574</v>
      </c>
      <c r="CM54" s="546">
        <f t="shared" si="39"/>
        <v>1047.5740000000001</v>
      </c>
      <c r="CP54" s="547" t="s">
        <v>585</v>
      </c>
      <c r="CQ54" s="546">
        <v>114507000</v>
      </c>
      <c r="CR54" s="546">
        <v>73222213</v>
      </c>
      <c r="CS54" s="546">
        <v>73222213</v>
      </c>
      <c r="CT54" s="546">
        <v>41284787</v>
      </c>
      <c r="CU54" s="546">
        <f t="shared" si="64"/>
        <v>114507</v>
      </c>
      <c r="CV54" s="546">
        <f t="shared" si="65"/>
        <v>73222.213000000003</v>
      </c>
      <c r="CW54" s="546">
        <f t="shared" si="66"/>
        <v>73222.213000000003</v>
      </c>
      <c r="CX54" s="546">
        <f t="shared" si="67"/>
        <v>41284.786999999997</v>
      </c>
      <c r="CZ54" s="547" t="s">
        <v>551</v>
      </c>
      <c r="DA54" s="546">
        <v>1039754</v>
      </c>
      <c r="DB54" s="546">
        <f t="shared" si="40"/>
        <v>1039.7539999999999</v>
      </c>
      <c r="DE54" s="544" t="s">
        <v>585</v>
      </c>
      <c r="DF54" s="545">
        <v>113391000</v>
      </c>
      <c r="DG54" s="545">
        <v>87149545</v>
      </c>
      <c r="DH54" s="545">
        <v>87149545</v>
      </c>
      <c r="DI54" s="545">
        <v>26241455</v>
      </c>
      <c r="DJ54" s="546">
        <f t="shared" si="41"/>
        <v>113391</v>
      </c>
      <c r="DK54" s="546">
        <f t="shared" si="42"/>
        <v>87149.544999999998</v>
      </c>
      <c r="DL54" s="546">
        <f t="shared" si="43"/>
        <v>87149.544999999998</v>
      </c>
      <c r="DM54" s="546">
        <f t="shared" si="44"/>
        <v>26241.455000000002</v>
      </c>
      <c r="DP54" s="544" t="s">
        <v>551</v>
      </c>
      <c r="DQ54" s="545">
        <v>522508</v>
      </c>
      <c r="DR54" s="546">
        <f t="shared" si="45"/>
        <v>522.50800000000004</v>
      </c>
      <c r="DT54" s="544" t="s">
        <v>585</v>
      </c>
      <c r="DU54" s="545">
        <v>113072000</v>
      </c>
      <c r="DV54" s="545">
        <v>93936983</v>
      </c>
      <c r="DW54" s="545">
        <v>93936983</v>
      </c>
      <c r="DX54" s="545">
        <v>19135017</v>
      </c>
      <c r="DY54" s="546">
        <f t="shared" si="46"/>
        <v>113072</v>
      </c>
      <c r="DZ54" s="546">
        <f t="shared" si="47"/>
        <v>93936.982999999993</v>
      </c>
      <c r="EA54" s="546">
        <f t="shared" si="48"/>
        <v>93936.982999999993</v>
      </c>
      <c r="EB54" s="546">
        <f t="shared" si="49"/>
        <v>19135.017</v>
      </c>
      <c r="EE54" s="547" t="s">
        <v>557</v>
      </c>
      <c r="EF54" s="546">
        <v>373437</v>
      </c>
      <c r="EG54" s="548">
        <f t="shared" si="50"/>
        <v>373.43700000000001</v>
      </c>
      <c r="EI54" s="547" t="s">
        <v>548</v>
      </c>
      <c r="EJ54" s="546">
        <v>56034000</v>
      </c>
      <c r="EK54" s="546">
        <v>33232750</v>
      </c>
      <c r="EL54" s="546">
        <v>33232750</v>
      </c>
      <c r="EM54" s="548">
        <f t="shared" si="51"/>
        <v>56034</v>
      </c>
      <c r="EN54" s="548">
        <f t="shared" si="52"/>
        <v>33232.75</v>
      </c>
      <c r="EO54" s="548">
        <f t="shared" si="53"/>
        <v>33232.75</v>
      </c>
      <c r="ER54" s="544" t="s">
        <v>558</v>
      </c>
      <c r="ES54" s="545">
        <v>1082900</v>
      </c>
      <c r="ET54" s="546">
        <f t="shared" si="54"/>
        <v>1082.9000000000001</v>
      </c>
      <c r="EW54" s="544" t="s">
        <v>548</v>
      </c>
      <c r="EX54" s="545">
        <v>0</v>
      </c>
      <c r="EY54" s="545">
        <v>56034000</v>
      </c>
      <c r="EZ54" s="545">
        <v>39813657</v>
      </c>
      <c r="FA54" s="545">
        <v>39813657</v>
      </c>
      <c r="FB54" s="545">
        <v>16220343</v>
      </c>
      <c r="FC54" s="546">
        <f t="shared" si="55"/>
        <v>0</v>
      </c>
      <c r="FD54" s="546">
        <f t="shared" si="56"/>
        <v>56034</v>
      </c>
      <c r="FE54" s="546">
        <f t="shared" si="57"/>
        <v>39813.656999999999</v>
      </c>
      <c r="FF54" s="546">
        <f t="shared" si="58"/>
        <v>39813.656999999999</v>
      </c>
      <c r="FG54" s="546">
        <f t="shared" si="59"/>
        <v>16220.343000000001</v>
      </c>
      <c r="FJ54" s="547" t="s">
        <v>360</v>
      </c>
      <c r="FK54" s="546">
        <v>62105024</v>
      </c>
      <c r="FL54" s="548">
        <f t="shared" si="60"/>
        <v>62105.023999999998</v>
      </c>
      <c r="FN54" s="549" t="s">
        <v>585</v>
      </c>
      <c r="FO54" s="550">
        <v>153723070</v>
      </c>
      <c r="FP54" s="550">
        <v>121414394</v>
      </c>
      <c r="FQ54" s="550">
        <v>121414394</v>
      </c>
      <c r="FR54" s="550">
        <f t="shared" si="61"/>
        <v>153723.07</v>
      </c>
      <c r="FS54" s="550">
        <f t="shared" si="62"/>
        <v>121414.394</v>
      </c>
      <c r="FT54" s="550">
        <f t="shared" si="63"/>
        <v>121414.394</v>
      </c>
    </row>
    <row r="55" spans="1:176" ht="15" customHeight="1" x14ac:dyDescent="0.25">
      <c r="A55" s="890" t="s">
        <v>889</v>
      </c>
      <c r="B55" s="544" t="s">
        <v>358</v>
      </c>
      <c r="C55" s="545">
        <v>0</v>
      </c>
      <c r="D55" s="545">
        <v>86350000</v>
      </c>
      <c r="E55" s="545">
        <v>0</v>
      </c>
      <c r="F55" s="545">
        <v>86350000</v>
      </c>
      <c r="G55" s="545">
        <v>0</v>
      </c>
      <c r="H55" s="546">
        <f t="shared" si="10"/>
        <v>89976.7</v>
      </c>
      <c r="I55" s="546">
        <f t="shared" si="11"/>
        <v>0</v>
      </c>
      <c r="J55" s="546">
        <f t="shared" si="12"/>
        <v>89976.7</v>
      </c>
      <c r="K55" s="546">
        <f t="shared" si="13"/>
        <v>0</v>
      </c>
      <c r="O55" s="544" t="s">
        <v>376</v>
      </c>
      <c r="P55" s="545">
        <v>74800</v>
      </c>
      <c r="Q55" s="546">
        <f t="shared" si="14"/>
        <v>77.941599999999994</v>
      </c>
      <c r="S55" s="544" t="s">
        <v>358</v>
      </c>
      <c r="T55" s="545">
        <v>86350000</v>
      </c>
      <c r="U55" s="545">
        <v>0</v>
      </c>
      <c r="V55" s="545">
        <v>0</v>
      </c>
      <c r="W55" s="545">
        <v>86350000</v>
      </c>
      <c r="X55" s="546">
        <f t="shared" si="15"/>
        <v>89976.7</v>
      </c>
      <c r="Y55" s="546">
        <f t="shared" si="16"/>
        <v>0</v>
      </c>
      <c r="Z55" s="546">
        <f t="shared" si="17"/>
        <v>0</v>
      </c>
      <c r="AA55" s="546">
        <f t="shared" si="18"/>
        <v>89976.7</v>
      </c>
      <c r="AC55" s="544" t="s">
        <v>365</v>
      </c>
      <c r="AD55" s="545">
        <v>428400</v>
      </c>
      <c r="AE55" s="546">
        <f t="shared" si="19"/>
        <v>428.4</v>
      </c>
      <c r="AG55" s="544" t="s">
        <v>827</v>
      </c>
      <c r="AH55" s="545">
        <v>700000</v>
      </c>
      <c r="AI55" s="545">
        <v>0</v>
      </c>
      <c r="AJ55" s="545">
        <v>0</v>
      </c>
      <c r="AK55" s="545">
        <v>700000</v>
      </c>
      <c r="AL55" s="545">
        <f t="shared" si="20"/>
        <v>700</v>
      </c>
      <c r="AM55" s="545">
        <f t="shared" si="21"/>
        <v>0</v>
      </c>
      <c r="AN55" s="545">
        <f t="shared" si="22"/>
        <v>0</v>
      </c>
      <c r="AO55" s="545">
        <f t="shared" si="23"/>
        <v>700</v>
      </c>
      <c r="AR55" s="544" t="s">
        <v>375</v>
      </c>
      <c r="AS55" s="545">
        <v>1023013</v>
      </c>
      <c r="AT55" s="545">
        <f t="shared" si="24"/>
        <v>1023.013</v>
      </c>
      <c r="AV55" s="544" t="s">
        <v>827</v>
      </c>
      <c r="AW55" s="545">
        <v>700000</v>
      </c>
      <c r="AX55" s="545">
        <v>0</v>
      </c>
      <c r="AY55" s="545">
        <v>0</v>
      </c>
      <c r="AZ55" s="545">
        <v>700000</v>
      </c>
      <c r="BA55" s="546">
        <f t="shared" si="25"/>
        <v>700</v>
      </c>
      <c r="BB55" s="546">
        <f t="shared" si="26"/>
        <v>0</v>
      </c>
      <c r="BC55" s="546">
        <f t="shared" si="27"/>
        <v>0</v>
      </c>
      <c r="BD55" s="546">
        <f t="shared" si="28"/>
        <v>700</v>
      </c>
      <c r="BG55" s="544" t="s">
        <v>559</v>
      </c>
      <c r="BH55" s="545">
        <v>3135806</v>
      </c>
      <c r="BI55" s="545">
        <f t="shared" si="29"/>
        <v>3135.806</v>
      </c>
      <c r="BK55" s="544" t="s">
        <v>827</v>
      </c>
      <c r="BL55" s="545">
        <v>700000</v>
      </c>
      <c r="BM55" s="545">
        <v>0</v>
      </c>
      <c r="BN55" s="545">
        <v>0</v>
      </c>
      <c r="BO55" s="545">
        <v>700000</v>
      </c>
      <c r="BP55" s="545">
        <f t="shared" si="30"/>
        <v>700</v>
      </c>
      <c r="BQ55" s="545">
        <f t="shared" si="31"/>
        <v>0</v>
      </c>
      <c r="BR55" s="545">
        <f t="shared" si="32"/>
        <v>0</v>
      </c>
      <c r="BS55" s="545">
        <f t="shared" si="33"/>
        <v>700</v>
      </c>
      <c r="BV55" s="544" t="s">
        <v>362</v>
      </c>
      <c r="BW55" s="545">
        <v>12852453</v>
      </c>
      <c r="BX55" s="546">
        <f t="shared" si="34"/>
        <v>12852.453</v>
      </c>
      <c r="BZ55" s="544" t="s">
        <v>827</v>
      </c>
      <c r="CA55" s="545">
        <v>700000</v>
      </c>
      <c r="CB55" s="545">
        <v>0</v>
      </c>
      <c r="CC55" s="545">
        <v>0</v>
      </c>
      <c r="CD55" s="545">
        <v>700000</v>
      </c>
      <c r="CE55" s="545">
        <f t="shared" si="35"/>
        <v>700</v>
      </c>
      <c r="CF55" s="545">
        <f t="shared" si="36"/>
        <v>0</v>
      </c>
      <c r="CG55" s="545">
        <f t="shared" si="37"/>
        <v>0</v>
      </c>
      <c r="CH55" s="545">
        <f t="shared" si="38"/>
        <v>700</v>
      </c>
      <c r="CK55" s="547" t="s">
        <v>362</v>
      </c>
      <c r="CL55" s="546">
        <v>5899892</v>
      </c>
      <c r="CM55" s="546">
        <f t="shared" si="39"/>
        <v>5899.8919999999998</v>
      </c>
      <c r="CP55" s="547" t="s">
        <v>827</v>
      </c>
      <c r="CQ55" s="546">
        <v>700000</v>
      </c>
      <c r="CR55" s="546">
        <v>0</v>
      </c>
      <c r="CS55" s="546">
        <v>0</v>
      </c>
      <c r="CT55" s="546">
        <v>700000</v>
      </c>
      <c r="CU55" s="546">
        <f t="shared" si="64"/>
        <v>700</v>
      </c>
      <c r="CV55" s="546">
        <f t="shared" si="65"/>
        <v>0</v>
      </c>
      <c r="CW55" s="546">
        <f t="shared" si="66"/>
        <v>0</v>
      </c>
      <c r="CX55" s="546">
        <f t="shared" si="67"/>
        <v>700</v>
      </c>
      <c r="CZ55" s="547" t="s">
        <v>362</v>
      </c>
      <c r="DA55" s="546">
        <v>3796788</v>
      </c>
      <c r="DB55" s="546">
        <f t="shared" si="40"/>
        <v>3796.788</v>
      </c>
      <c r="DE55" s="544" t="s">
        <v>827</v>
      </c>
      <c r="DF55" s="545">
        <v>700000</v>
      </c>
      <c r="DG55" s="545">
        <v>0</v>
      </c>
      <c r="DH55" s="545">
        <v>0</v>
      </c>
      <c r="DI55" s="545">
        <v>700000</v>
      </c>
      <c r="DJ55" s="546">
        <f t="shared" si="41"/>
        <v>700</v>
      </c>
      <c r="DK55" s="546">
        <f t="shared" si="42"/>
        <v>0</v>
      </c>
      <c r="DL55" s="546">
        <f t="shared" si="43"/>
        <v>0</v>
      </c>
      <c r="DM55" s="546">
        <f t="shared" si="44"/>
        <v>700</v>
      </c>
      <c r="DP55" s="544" t="s">
        <v>362</v>
      </c>
      <c r="DQ55" s="545">
        <v>1438628</v>
      </c>
      <c r="DR55" s="546">
        <f t="shared" si="45"/>
        <v>1438.6279999999999</v>
      </c>
      <c r="DT55" s="544" t="s">
        <v>827</v>
      </c>
      <c r="DU55" s="545">
        <v>700000</v>
      </c>
      <c r="DV55" s="545">
        <v>0</v>
      </c>
      <c r="DW55" s="545">
        <v>0</v>
      </c>
      <c r="DX55" s="545">
        <v>700000</v>
      </c>
      <c r="DY55" s="546">
        <f t="shared" si="46"/>
        <v>700</v>
      </c>
      <c r="DZ55" s="546">
        <f t="shared" si="47"/>
        <v>0</v>
      </c>
      <c r="EA55" s="546">
        <f t="shared" si="48"/>
        <v>0</v>
      </c>
      <c r="EB55" s="546">
        <f t="shared" si="49"/>
        <v>700</v>
      </c>
      <c r="EE55" s="547" t="s">
        <v>558</v>
      </c>
      <c r="EF55" s="546">
        <v>690200</v>
      </c>
      <c r="EG55" s="548">
        <f t="shared" si="50"/>
        <v>690.2</v>
      </c>
      <c r="EI55" s="547" t="s">
        <v>585</v>
      </c>
      <c r="EJ55" s="546">
        <v>112178000</v>
      </c>
      <c r="EK55" s="546">
        <v>101596651</v>
      </c>
      <c r="EL55" s="546">
        <v>101596651</v>
      </c>
      <c r="EM55" s="548">
        <f t="shared" si="51"/>
        <v>112178</v>
      </c>
      <c r="EN55" s="548">
        <f t="shared" si="52"/>
        <v>101596.651</v>
      </c>
      <c r="EO55" s="548">
        <f t="shared" si="53"/>
        <v>101596.651</v>
      </c>
      <c r="ER55" s="544" t="s">
        <v>371</v>
      </c>
      <c r="ES55" s="545">
        <v>2572563</v>
      </c>
      <c r="ET55" s="546">
        <f t="shared" si="54"/>
        <v>2572.5630000000001</v>
      </c>
      <c r="EW55" s="544" t="s">
        <v>585</v>
      </c>
      <c r="EX55" s="545">
        <v>0</v>
      </c>
      <c r="EY55" s="545">
        <v>154015000</v>
      </c>
      <c r="EZ55" s="545">
        <v>111632350</v>
      </c>
      <c r="FA55" s="545">
        <v>111632350</v>
      </c>
      <c r="FB55" s="545">
        <v>42382650</v>
      </c>
      <c r="FC55" s="546">
        <f t="shared" si="55"/>
        <v>0</v>
      </c>
      <c r="FD55" s="546">
        <f t="shared" si="56"/>
        <v>154015</v>
      </c>
      <c r="FE55" s="546">
        <f t="shared" si="57"/>
        <v>111632.35</v>
      </c>
      <c r="FF55" s="546">
        <f t="shared" si="58"/>
        <v>111632.35</v>
      </c>
      <c r="FG55" s="546">
        <f t="shared" si="59"/>
        <v>42382.65</v>
      </c>
      <c r="FJ55" s="547" t="s">
        <v>361</v>
      </c>
      <c r="FK55" s="546">
        <v>97810804</v>
      </c>
      <c r="FL55" s="548">
        <f t="shared" si="60"/>
        <v>97810.804000000004</v>
      </c>
      <c r="FN55" s="549" t="s">
        <v>827</v>
      </c>
      <c r="FO55" s="550">
        <v>700000</v>
      </c>
      <c r="FP55" s="550">
        <v>0</v>
      </c>
      <c r="FQ55" s="550">
        <v>0</v>
      </c>
      <c r="FR55" s="550">
        <f t="shared" si="61"/>
        <v>700</v>
      </c>
      <c r="FS55" s="550">
        <f t="shared" si="62"/>
        <v>0</v>
      </c>
      <c r="FT55" s="550">
        <f t="shared" si="63"/>
        <v>0</v>
      </c>
    </row>
    <row r="56" spans="1:176" ht="15" customHeight="1" x14ac:dyDescent="0.25">
      <c r="A56" s="890" t="s">
        <v>890</v>
      </c>
      <c r="B56" s="544" t="s">
        <v>359</v>
      </c>
      <c r="C56" s="545">
        <v>0</v>
      </c>
      <c r="D56" s="545">
        <v>10000</v>
      </c>
      <c r="E56" s="545">
        <v>0</v>
      </c>
      <c r="F56" s="545">
        <v>10000</v>
      </c>
      <c r="G56" s="545">
        <v>0</v>
      </c>
      <c r="H56" s="546">
        <f t="shared" si="10"/>
        <v>10.42</v>
      </c>
      <c r="I56" s="546">
        <f t="shared" si="11"/>
        <v>0</v>
      </c>
      <c r="J56" s="546">
        <f t="shared" si="12"/>
        <v>10.42</v>
      </c>
      <c r="K56" s="546">
        <f t="shared" si="13"/>
        <v>0</v>
      </c>
      <c r="O56" s="544" t="s">
        <v>377</v>
      </c>
      <c r="P56" s="545">
        <v>759276</v>
      </c>
      <c r="Q56" s="546">
        <f t="shared" si="14"/>
        <v>791.16559199999995</v>
      </c>
      <c r="S56" s="544" t="s">
        <v>359</v>
      </c>
      <c r="T56" s="545">
        <v>10000</v>
      </c>
      <c r="U56" s="545">
        <v>0</v>
      </c>
      <c r="V56" s="545">
        <v>0</v>
      </c>
      <c r="W56" s="545">
        <v>10000</v>
      </c>
      <c r="X56" s="546">
        <f t="shared" si="15"/>
        <v>10.42</v>
      </c>
      <c r="Y56" s="546">
        <f t="shared" si="16"/>
        <v>0</v>
      </c>
      <c r="Z56" s="546">
        <f t="shared" si="17"/>
        <v>0</v>
      </c>
      <c r="AA56" s="546">
        <f t="shared" si="18"/>
        <v>10.42</v>
      </c>
      <c r="AC56" s="544" t="s">
        <v>552</v>
      </c>
      <c r="AD56" s="545">
        <v>428400</v>
      </c>
      <c r="AE56" s="546">
        <f t="shared" si="19"/>
        <v>428.4</v>
      </c>
      <c r="AG56" s="544" t="s">
        <v>358</v>
      </c>
      <c r="AH56" s="545">
        <v>86350000</v>
      </c>
      <c r="AI56" s="545">
        <v>8854892</v>
      </c>
      <c r="AJ56" s="545">
        <v>8854892</v>
      </c>
      <c r="AK56" s="545">
        <v>77495108</v>
      </c>
      <c r="AL56" s="545">
        <f t="shared" si="20"/>
        <v>86350</v>
      </c>
      <c r="AM56" s="545">
        <f t="shared" si="21"/>
        <v>8854.8919999999998</v>
      </c>
      <c r="AN56" s="545">
        <f t="shared" si="22"/>
        <v>8854.8919999999998</v>
      </c>
      <c r="AO56" s="545">
        <f t="shared" si="23"/>
        <v>77495.107999999993</v>
      </c>
      <c r="AR56" s="544" t="s">
        <v>376</v>
      </c>
      <c r="AS56" s="545">
        <v>95100</v>
      </c>
      <c r="AT56" s="545">
        <f t="shared" si="24"/>
        <v>95.1</v>
      </c>
      <c r="AV56" s="544" t="s">
        <v>358</v>
      </c>
      <c r="AW56" s="545">
        <v>86350000</v>
      </c>
      <c r="AX56" s="545">
        <v>8854892</v>
      </c>
      <c r="AY56" s="545">
        <v>8854892</v>
      </c>
      <c r="AZ56" s="545">
        <v>77495108</v>
      </c>
      <c r="BA56" s="546">
        <f t="shared" si="25"/>
        <v>86350</v>
      </c>
      <c r="BB56" s="546">
        <f t="shared" si="26"/>
        <v>8854.8919999999998</v>
      </c>
      <c r="BC56" s="546">
        <f t="shared" si="27"/>
        <v>8854.8919999999998</v>
      </c>
      <c r="BD56" s="546">
        <f t="shared" si="28"/>
        <v>77495.107999999993</v>
      </c>
      <c r="BG56" s="544" t="s">
        <v>381</v>
      </c>
      <c r="BH56" s="545">
        <v>739668</v>
      </c>
      <c r="BI56" s="545">
        <f t="shared" si="29"/>
        <v>739.66800000000001</v>
      </c>
      <c r="BK56" s="544" t="s">
        <v>358</v>
      </c>
      <c r="BL56" s="545">
        <v>86350000</v>
      </c>
      <c r="BM56" s="545">
        <v>8854892</v>
      </c>
      <c r="BN56" s="545">
        <v>8854892</v>
      </c>
      <c r="BO56" s="545">
        <v>77495108</v>
      </c>
      <c r="BP56" s="545">
        <f t="shared" si="30"/>
        <v>86350</v>
      </c>
      <c r="BQ56" s="545">
        <f t="shared" si="31"/>
        <v>8854.8919999999998</v>
      </c>
      <c r="BR56" s="545">
        <f t="shared" si="32"/>
        <v>8854.8919999999998</v>
      </c>
      <c r="BS56" s="545">
        <f t="shared" si="33"/>
        <v>77495.107999999993</v>
      </c>
      <c r="BV56" s="544" t="s">
        <v>364</v>
      </c>
      <c r="BW56" s="545">
        <v>362576327</v>
      </c>
      <c r="BX56" s="546">
        <f t="shared" si="34"/>
        <v>362576.32699999999</v>
      </c>
      <c r="BZ56" s="544" t="s">
        <v>358</v>
      </c>
      <c r="CA56" s="545">
        <v>95949696</v>
      </c>
      <c r="CB56" s="545">
        <v>18454588</v>
      </c>
      <c r="CC56" s="545">
        <v>18454588</v>
      </c>
      <c r="CD56" s="545">
        <v>77495108</v>
      </c>
      <c r="CE56" s="545">
        <f t="shared" si="35"/>
        <v>95949.695999999996</v>
      </c>
      <c r="CF56" s="545">
        <f t="shared" si="36"/>
        <v>18454.588</v>
      </c>
      <c r="CG56" s="545">
        <f t="shared" si="37"/>
        <v>18454.588</v>
      </c>
      <c r="CH56" s="545">
        <f t="shared" si="38"/>
        <v>77495.107999999993</v>
      </c>
      <c r="CK56" s="547" t="s">
        <v>364</v>
      </c>
      <c r="CL56" s="546">
        <v>519970871</v>
      </c>
      <c r="CM56" s="546">
        <f t="shared" si="39"/>
        <v>519970.87099999998</v>
      </c>
      <c r="CP56" s="547" t="s">
        <v>358</v>
      </c>
      <c r="CQ56" s="546">
        <v>95949696</v>
      </c>
      <c r="CR56" s="546">
        <v>18452653</v>
      </c>
      <c r="CS56" s="546">
        <v>18452653</v>
      </c>
      <c r="CT56" s="546">
        <v>77497043</v>
      </c>
      <c r="CU56" s="546">
        <f t="shared" si="64"/>
        <v>95949.695999999996</v>
      </c>
      <c r="CV56" s="546">
        <f t="shared" si="65"/>
        <v>18452.652999999998</v>
      </c>
      <c r="CW56" s="546">
        <f t="shared" si="66"/>
        <v>18452.652999999998</v>
      </c>
      <c r="CX56" s="546">
        <f t="shared" si="67"/>
        <v>77497.043000000005</v>
      </c>
      <c r="CZ56" s="547" t="s">
        <v>364</v>
      </c>
      <c r="DA56" s="546">
        <v>316256898</v>
      </c>
      <c r="DB56" s="546">
        <f t="shared" si="40"/>
        <v>316256.89799999999</v>
      </c>
      <c r="DE56" s="544" t="s">
        <v>358</v>
      </c>
      <c r="DF56" s="545">
        <v>95949696</v>
      </c>
      <c r="DG56" s="545">
        <v>18445888</v>
      </c>
      <c r="DH56" s="545">
        <v>18445888</v>
      </c>
      <c r="DI56" s="545">
        <v>77503808</v>
      </c>
      <c r="DJ56" s="546">
        <f t="shared" si="41"/>
        <v>95949.695999999996</v>
      </c>
      <c r="DK56" s="546">
        <f t="shared" si="42"/>
        <v>18445.887999999999</v>
      </c>
      <c r="DL56" s="546">
        <f t="shared" si="43"/>
        <v>18445.887999999999</v>
      </c>
      <c r="DM56" s="546">
        <f t="shared" si="44"/>
        <v>77503.808000000005</v>
      </c>
      <c r="DP56" s="544" t="s">
        <v>364</v>
      </c>
      <c r="DQ56" s="545">
        <v>414369512</v>
      </c>
      <c r="DR56" s="546">
        <f t="shared" si="45"/>
        <v>414369.51199999999</v>
      </c>
      <c r="DT56" s="544" t="s">
        <v>358</v>
      </c>
      <c r="DU56" s="545">
        <v>118949696</v>
      </c>
      <c r="DV56" s="545">
        <v>41205901</v>
      </c>
      <c r="DW56" s="545">
        <v>41205901</v>
      </c>
      <c r="DX56" s="545">
        <v>77743795</v>
      </c>
      <c r="DY56" s="546">
        <f t="shared" si="46"/>
        <v>118949.696</v>
      </c>
      <c r="DZ56" s="546">
        <f t="shared" si="47"/>
        <v>41205.900999999998</v>
      </c>
      <c r="EA56" s="546">
        <f t="shared" si="48"/>
        <v>41205.900999999998</v>
      </c>
      <c r="EB56" s="546">
        <f t="shared" si="49"/>
        <v>77743.794999999998</v>
      </c>
      <c r="EE56" s="547" t="s">
        <v>371</v>
      </c>
      <c r="EF56" s="546">
        <v>745179</v>
      </c>
      <c r="EG56" s="548">
        <f t="shared" si="50"/>
        <v>745.17899999999997</v>
      </c>
      <c r="EI56" s="547" t="s">
        <v>827</v>
      </c>
      <c r="EJ56" s="546">
        <v>700000</v>
      </c>
      <c r="EK56" s="546">
        <v>0</v>
      </c>
      <c r="EL56" s="546">
        <v>0</v>
      </c>
      <c r="EM56" s="548">
        <f t="shared" si="51"/>
        <v>700</v>
      </c>
      <c r="EN56" s="548">
        <f t="shared" si="52"/>
        <v>0</v>
      </c>
      <c r="EO56" s="548">
        <f t="shared" si="53"/>
        <v>0</v>
      </c>
      <c r="ER56" s="544" t="s">
        <v>373</v>
      </c>
      <c r="ES56" s="545">
        <v>18901177</v>
      </c>
      <c r="ET56" s="546">
        <f t="shared" si="54"/>
        <v>18901.177</v>
      </c>
      <c r="EW56" s="544" t="s">
        <v>827</v>
      </c>
      <c r="EX56" s="545">
        <v>0</v>
      </c>
      <c r="EY56" s="545">
        <v>700000</v>
      </c>
      <c r="EZ56" s="545">
        <v>0</v>
      </c>
      <c r="FA56" s="545">
        <v>0</v>
      </c>
      <c r="FB56" s="545">
        <v>700000</v>
      </c>
      <c r="FC56" s="546">
        <f t="shared" si="55"/>
        <v>0</v>
      </c>
      <c r="FD56" s="546">
        <f t="shared" si="56"/>
        <v>700</v>
      </c>
      <c r="FE56" s="546">
        <f t="shared" si="57"/>
        <v>0</v>
      </c>
      <c r="FF56" s="546">
        <f t="shared" si="58"/>
        <v>0</v>
      </c>
      <c r="FG56" s="546">
        <f t="shared" si="59"/>
        <v>700</v>
      </c>
      <c r="FJ56" s="547" t="s">
        <v>549</v>
      </c>
      <c r="FK56" s="546">
        <v>88584473</v>
      </c>
      <c r="FL56" s="548">
        <f t="shared" si="60"/>
        <v>88584.472999999998</v>
      </c>
      <c r="FN56" s="549" t="s">
        <v>358</v>
      </c>
      <c r="FO56" s="550">
        <v>128071199</v>
      </c>
      <c r="FP56" s="550">
        <v>119355854</v>
      </c>
      <c r="FQ56" s="550">
        <v>119355854</v>
      </c>
      <c r="FR56" s="550">
        <f t="shared" si="61"/>
        <v>128071.19899999999</v>
      </c>
      <c r="FS56" s="550">
        <f t="shared" si="62"/>
        <v>119355.85400000001</v>
      </c>
      <c r="FT56" s="550">
        <f t="shared" si="63"/>
        <v>119355.85400000001</v>
      </c>
    </row>
    <row r="57" spans="1:176" ht="15" customHeight="1" x14ac:dyDescent="0.25">
      <c r="A57" s="890" t="s">
        <v>890</v>
      </c>
      <c r="B57" s="544" t="s">
        <v>461</v>
      </c>
      <c r="C57" s="545">
        <v>0</v>
      </c>
      <c r="D57" s="545">
        <v>17560000</v>
      </c>
      <c r="E57" s="545">
        <v>0</v>
      </c>
      <c r="F57" s="545">
        <v>17560000</v>
      </c>
      <c r="G57" s="545">
        <v>0</v>
      </c>
      <c r="H57" s="546">
        <f t="shared" si="10"/>
        <v>18297.52</v>
      </c>
      <c r="I57" s="546">
        <f t="shared" si="11"/>
        <v>0</v>
      </c>
      <c r="J57" s="546">
        <f t="shared" si="12"/>
        <v>18297.52</v>
      </c>
      <c r="K57" s="546">
        <f t="shared" si="13"/>
        <v>0</v>
      </c>
      <c r="O57" s="544" t="s">
        <v>378</v>
      </c>
      <c r="P57" s="545">
        <v>5465146</v>
      </c>
      <c r="Q57" s="546">
        <f t="shared" si="14"/>
        <v>5694.6821319999999</v>
      </c>
      <c r="S57" s="544" t="s">
        <v>461</v>
      </c>
      <c r="T57" s="545">
        <v>17560000</v>
      </c>
      <c r="U57" s="545">
        <v>0</v>
      </c>
      <c r="V57" s="545">
        <v>0</v>
      </c>
      <c r="W57" s="545">
        <v>17560000</v>
      </c>
      <c r="X57" s="546">
        <f t="shared" si="15"/>
        <v>18297.52</v>
      </c>
      <c r="Y57" s="546">
        <f t="shared" si="16"/>
        <v>0</v>
      </c>
      <c r="Z57" s="546">
        <f t="shared" si="17"/>
        <v>0</v>
      </c>
      <c r="AA57" s="546">
        <f t="shared" si="18"/>
        <v>18297.52</v>
      </c>
      <c r="AC57" s="544" t="s">
        <v>367</v>
      </c>
      <c r="AD57" s="545">
        <v>7948409</v>
      </c>
      <c r="AE57" s="546">
        <f t="shared" si="19"/>
        <v>7948.4089999999997</v>
      </c>
      <c r="AG57" s="544" t="s">
        <v>359</v>
      </c>
      <c r="AH57" s="545">
        <v>10000</v>
      </c>
      <c r="AI57" s="545">
        <v>0</v>
      </c>
      <c r="AJ57" s="545">
        <v>0</v>
      </c>
      <c r="AK57" s="545">
        <v>10000</v>
      </c>
      <c r="AL57" s="545">
        <f t="shared" si="20"/>
        <v>10</v>
      </c>
      <c r="AM57" s="545">
        <f t="shared" si="21"/>
        <v>0</v>
      </c>
      <c r="AN57" s="545">
        <f t="shared" si="22"/>
        <v>0</v>
      </c>
      <c r="AO57" s="545">
        <f t="shared" si="23"/>
        <v>10</v>
      </c>
      <c r="AR57" s="544" t="s">
        <v>377</v>
      </c>
      <c r="AS57" s="545">
        <v>608358</v>
      </c>
      <c r="AT57" s="545">
        <f t="shared" si="24"/>
        <v>608.35799999999995</v>
      </c>
      <c r="AV57" s="544" t="s">
        <v>359</v>
      </c>
      <c r="AW57" s="545">
        <v>10000</v>
      </c>
      <c r="AX57" s="545">
        <v>0</v>
      </c>
      <c r="AY57" s="545">
        <v>0</v>
      </c>
      <c r="AZ57" s="545">
        <v>10000</v>
      </c>
      <c r="BA57" s="546">
        <f t="shared" si="25"/>
        <v>10</v>
      </c>
      <c r="BB57" s="546">
        <f t="shared" si="26"/>
        <v>0</v>
      </c>
      <c r="BC57" s="546">
        <f t="shared" si="27"/>
        <v>0</v>
      </c>
      <c r="BD57" s="546">
        <f t="shared" si="28"/>
        <v>10</v>
      </c>
      <c r="BG57" s="544" t="s">
        <v>561</v>
      </c>
      <c r="BH57" s="545">
        <v>739668</v>
      </c>
      <c r="BI57" s="545">
        <f t="shared" si="29"/>
        <v>739.66800000000001</v>
      </c>
      <c r="BK57" s="544" t="s">
        <v>359</v>
      </c>
      <c r="BL57" s="545">
        <v>10000</v>
      </c>
      <c r="BM57" s="545">
        <v>0</v>
      </c>
      <c r="BN57" s="545">
        <v>0</v>
      </c>
      <c r="BO57" s="545">
        <v>10000</v>
      </c>
      <c r="BP57" s="545">
        <f t="shared" si="30"/>
        <v>10</v>
      </c>
      <c r="BQ57" s="545">
        <f t="shared" si="31"/>
        <v>0</v>
      </c>
      <c r="BR57" s="545">
        <f t="shared" si="32"/>
        <v>0</v>
      </c>
      <c r="BS57" s="545">
        <f t="shared" si="33"/>
        <v>10</v>
      </c>
      <c r="BV57" s="544" t="s">
        <v>365</v>
      </c>
      <c r="BW57" s="545">
        <v>7774155</v>
      </c>
      <c r="BX57" s="546">
        <f t="shared" si="34"/>
        <v>7774.1549999999997</v>
      </c>
      <c r="BZ57" s="544" t="s">
        <v>359</v>
      </c>
      <c r="CA57" s="545">
        <v>10000</v>
      </c>
      <c r="CB57" s="545">
        <v>0</v>
      </c>
      <c r="CC57" s="545">
        <v>0</v>
      </c>
      <c r="CD57" s="545">
        <v>10000</v>
      </c>
      <c r="CE57" s="545">
        <f t="shared" si="35"/>
        <v>10</v>
      </c>
      <c r="CF57" s="545">
        <f t="shared" si="36"/>
        <v>0</v>
      </c>
      <c r="CG57" s="545">
        <f t="shared" si="37"/>
        <v>0</v>
      </c>
      <c r="CH57" s="545">
        <f t="shared" si="38"/>
        <v>10</v>
      </c>
      <c r="CK57" s="547" t="s">
        <v>365</v>
      </c>
      <c r="CL57" s="546">
        <v>4566506</v>
      </c>
      <c r="CM57" s="546">
        <f t="shared" si="39"/>
        <v>4566.5060000000003</v>
      </c>
      <c r="CP57" s="547" t="s">
        <v>359</v>
      </c>
      <c r="CQ57" s="546">
        <v>10000</v>
      </c>
      <c r="CR57" s="546">
        <v>0</v>
      </c>
      <c r="CS57" s="546">
        <v>0</v>
      </c>
      <c r="CT57" s="546">
        <v>10000</v>
      </c>
      <c r="CU57" s="546">
        <f t="shared" si="64"/>
        <v>10</v>
      </c>
      <c r="CV57" s="546">
        <f t="shared" si="65"/>
        <v>0</v>
      </c>
      <c r="CW57" s="546">
        <f t="shared" si="66"/>
        <v>0</v>
      </c>
      <c r="CX57" s="546">
        <f t="shared" si="67"/>
        <v>10</v>
      </c>
      <c r="CZ57" s="547" t="s">
        <v>365</v>
      </c>
      <c r="DA57" s="546">
        <v>416500</v>
      </c>
      <c r="DB57" s="546">
        <f t="shared" si="40"/>
        <v>416.5</v>
      </c>
      <c r="DE57" s="544" t="s">
        <v>359</v>
      </c>
      <c r="DF57" s="545">
        <v>10000</v>
      </c>
      <c r="DG57" s="545">
        <v>0</v>
      </c>
      <c r="DH57" s="545">
        <v>0</v>
      </c>
      <c r="DI57" s="545">
        <v>10000</v>
      </c>
      <c r="DJ57" s="546">
        <f t="shared" si="41"/>
        <v>10</v>
      </c>
      <c r="DK57" s="546">
        <f t="shared" si="42"/>
        <v>0</v>
      </c>
      <c r="DL57" s="546">
        <f t="shared" si="43"/>
        <v>0</v>
      </c>
      <c r="DM57" s="546">
        <f t="shared" si="44"/>
        <v>10</v>
      </c>
      <c r="DP57" s="544" t="s">
        <v>367</v>
      </c>
      <c r="DQ57" s="545">
        <v>1835295</v>
      </c>
      <c r="DR57" s="546">
        <f t="shared" si="45"/>
        <v>1835.2950000000001</v>
      </c>
      <c r="DT57" s="544" t="s">
        <v>359</v>
      </c>
      <c r="DU57" s="545">
        <v>23010000</v>
      </c>
      <c r="DV57" s="545">
        <v>22760013</v>
      </c>
      <c r="DW57" s="545">
        <v>22760013</v>
      </c>
      <c r="DX57" s="545">
        <v>249987</v>
      </c>
      <c r="DY57" s="546">
        <f t="shared" si="46"/>
        <v>23010</v>
      </c>
      <c r="DZ57" s="546">
        <f t="shared" si="47"/>
        <v>22760.012999999999</v>
      </c>
      <c r="EA57" s="546">
        <f t="shared" si="48"/>
        <v>22760.012999999999</v>
      </c>
      <c r="EB57" s="546">
        <f t="shared" si="49"/>
        <v>249.98699999999999</v>
      </c>
      <c r="EE57" s="547" t="s">
        <v>372</v>
      </c>
      <c r="EF57" s="546">
        <v>166600</v>
      </c>
      <c r="EG57" s="548">
        <f t="shared" si="50"/>
        <v>166.6</v>
      </c>
      <c r="EI57" s="547" t="s">
        <v>358</v>
      </c>
      <c r="EJ57" s="546">
        <v>118949696</v>
      </c>
      <c r="EK57" s="546">
        <v>41205901</v>
      </c>
      <c r="EL57" s="546">
        <v>41205901</v>
      </c>
      <c r="EM57" s="548">
        <f t="shared" si="51"/>
        <v>118949.696</v>
      </c>
      <c r="EN57" s="548">
        <f t="shared" si="52"/>
        <v>41205.900999999998</v>
      </c>
      <c r="EO57" s="548">
        <f t="shared" si="53"/>
        <v>41205.900999999998</v>
      </c>
      <c r="ER57" s="544" t="s">
        <v>374</v>
      </c>
      <c r="ES57" s="545">
        <v>1737447</v>
      </c>
      <c r="ET57" s="546">
        <f t="shared" si="54"/>
        <v>1737.4469999999999</v>
      </c>
      <c r="EW57" s="544" t="s">
        <v>358</v>
      </c>
      <c r="EX57" s="545">
        <v>0</v>
      </c>
      <c r="EY57" s="545">
        <v>118949696</v>
      </c>
      <c r="EZ57" s="545">
        <v>41205901</v>
      </c>
      <c r="FA57" s="545">
        <v>41205901</v>
      </c>
      <c r="FB57" s="545">
        <v>77743795</v>
      </c>
      <c r="FC57" s="546">
        <f t="shared" si="55"/>
        <v>0</v>
      </c>
      <c r="FD57" s="546">
        <f t="shared" si="56"/>
        <v>118949.696</v>
      </c>
      <c r="FE57" s="546">
        <f t="shared" si="57"/>
        <v>41205.900999999998</v>
      </c>
      <c r="FF57" s="546">
        <f t="shared" si="58"/>
        <v>41205.900999999998</v>
      </c>
      <c r="FG57" s="546">
        <f t="shared" si="59"/>
        <v>77743.794999999998</v>
      </c>
      <c r="FJ57" s="547" t="s">
        <v>550</v>
      </c>
      <c r="FK57" s="546">
        <v>88270689</v>
      </c>
      <c r="FL57" s="548">
        <f t="shared" si="60"/>
        <v>88270.688999999998</v>
      </c>
      <c r="FN57" s="549" t="s">
        <v>359</v>
      </c>
      <c r="FO57" s="550">
        <v>38806479</v>
      </c>
      <c r="FP57" s="550">
        <v>38804942</v>
      </c>
      <c r="FQ57" s="550">
        <v>38804942</v>
      </c>
      <c r="FR57" s="550">
        <f t="shared" si="61"/>
        <v>38806.478999999999</v>
      </c>
      <c r="FS57" s="550">
        <f t="shared" si="62"/>
        <v>38804.942000000003</v>
      </c>
      <c r="FT57" s="550">
        <f t="shared" si="63"/>
        <v>38804.942000000003</v>
      </c>
    </row>
    <row r="58" spans="1:176" ht="15" customHeight="1" x14ac:dyDescent="0.25">
      <c r="A58" s="890" t="s">
        <v>890</v>
      </c>
      <c r="B58" s="544" t="s">
        <v>360</v>
      </c>
      <c r="C58" s="545">
        <v>0</v>
      </c>
      <c r="D58" s="545">
        <v>68780000</v>
      </c>
      <c r="E58" s="545">
        <v>0</v>
      </c>
      <c r="F58" s="545">
        <v>68780000</v>
      </c>
      <c r="G58" s="545">
        <v>0</v>
      </c>
      <c r="H58" s="546">
        <f t="shared" si="10"/>
        <v>71668.760000000009</v>
      </c>
      <c r="I58" s="546">
        <f t="shared" si="11"/>
        <v>0</v>
      </c>
      <c r="J58" s="546">
        <f t="shared" si="12"/>
        <v>71668.760000000009</v>
      </c>
      <c r="K58" s="546">
        <f t="shared" si="13"/>
        <v>0</v>
      </c>
      <c r="O58" s="544" t="s">
        <v>380</v>
      </c>
      <c r="P58" s="545">
        <v>474317</v>
      </c>
      <c r="Q58" s="546">
        <f t="shared" si="14"/>
        <v>494.238314</v>
      </c>
      <c r="S58" s="544" t="s">
        <v>360</v>
      </c>
      <c r="T58" s="545">
        <v>68780000</v>
      </c>
      <c r="U58" s="545">
        <v>0</v>
      </c>
      <c r="V58" s="545">
        <v>0</v>
      </c>
      <c r="W58" s="545">
        <v>68780000</v>
      </c>
      <c r="X58" s="546">
        <f t="shared" si="15"/>
        <v>71668.760000000009</v>
      </c>
      <c r="Y58" s="546">
        <f t="shared" si="16"/>
        <v>0</v>
      </c>
      <c r="Z58" s="546">
        <f t="shared" si="17"/>
        <v>0</v>
      </c>
      <c r="AA58" s="546">
        <f t="shared" si="18"/>
        <v>71668.760000000009</v>
      </c>
      <c r="AC58" s="544" t="s">
        <v>370</v>
      </c>
      <c r="AD58" s="545">
        <v>3199851</v>
      </c>
      <c r="AE58" s="546">
        <f t="shared" si="19"/>
        <v>3199.8510000000001</v>
      </c>
      <c r="AG58" s="544" t="s">
        <v>461</v>
      </c>
      <c r="AH58" s="545">
        <v>17560000</v>
      </c>
      <c r="AI58" s="545">
        <v>8854892</v>
      </c>
      <c r="AJ58" s="545">
        <v>8854892</v>
      </c>
      <c r="AK58" s="545">
        <v>8705108</v>
      </c>
      <c r="AL58" s="545">
        <f t="shared" si="20"/>
        <v>17560</v>
      </c>
      <c r="AM58" s="545">
        <f t="shared" si="21"/>
        <v>8854.8919999999998</v>
      </c>
      <c r="AN58" s="545">
        <f t="shared" si="22"/>
        <v>8854.8919999999998</v>
      </c>
      <c r="AO58" s="545">
        <f t="shared" si="23"/>
        <v>8705.1080000000002</v>
      </c>
      <c r="AR58" s="544" t="s">
        <v>380</v>
      </c>
      <c r="AS58" s="545">
        <v>474317</v>
      </c>
      <c r="AT58" s="545">
        <f t="shared" si="24"/>
        <v>474.31700000000001</v>
      </c>
      <c r="AV58" s="544" t="s">
        <v>461</v>
      </c>
      <c r="AW58" s="545">
        <v>17560000</v>
      </c>
      <c r="AX58" s="545">
        <v>8854892</v>
      </c>
      <c r="AY58" s="545">
        <v>8854892</v>
      </c>
      <c r="AZ58" s="545">
        <v>8705108</v>
      </c>
      <c r="BA58" s="546">
        <f t="shared" si="25"/>
        <v>17560</v>
      </c>
      <c r="BB58" s="546">
        <f t="shared" si="26"/>
        <v>8854.8919999999998</v>
      </c>
      <c r="BC58" s="546">
        <f t="shared" si="27"/>
        <v>8854.8919999999998</v>
      </c>
      <c r="BD58" s="546">
        <f t="shared" si="28"/>
        <v>8705.1080000000002</v>
      </c>
      <c r="BG58" s="544" t="s">
        <v>383</v>
      </c>
      <c r="BH58" s="545">
        <v>7531699</v>
      </c>
      <c r="BI58" s="545">
        <f t="shared" si="29"/>
        <v>7531.6989999999996</v>
      </c>
      <c r="BK58" s="544" t="s">
        <v>461</v>
      </c>
      <c r="BL58" s="545">
        <v>17560000</v>
      </c>
      <c r="BM58" s="545">
        <v>8854892</v>
      </c>
      <c r="BN58" s="545">
        <v>8854892</v>
      </c>
      <c r="BO58" s="545">
        <v>8705108</v>
      </c>
      <c r="BP58" s="545">
        <f t="shared" si="30"/>
        <v>17560</v>
      </c>
      <c r="BQ58" s="545">
        <f t="shared" si="31"/>
        <v>8854.8919999999998</v>
      </c>
      <c r="BR58" s="545">
        <f t="shared" si="32"/>
        <v>8854.8919999999998</v>
      </c>
      <c r="BS58" s="545">
        <f t="shared" si="33"/>
        <v>8705.1080000000002</v>
      </c>
      <c r="BV58" s="544" t="s">
        <v>552</v>
      </c>
      <c r="BW58" s="545">
        <v>6374355</v>
      </c>
      <c r="BX58" s="546">
        <f t="shared" si="34"/>
        <v>6374.3549999999996</v>
      </c>
      <c r="BZ58" s="544" t="s">
        <v>461</v>
      </c>
      <c r="CA58" s="545">
        <v>27159696</v>
      </c>
      <c r="CB58" s="545">
        <v>18454588</v>
      </c>
      <c r="CC58" s="545">
        <v>18454588</v>
      </c>
      <c r="CD58" s="545">
        <v>8705108</v>
      </c>
      <c r="CE58" s="545">
        <f t="shared" si="35"/>
        <v>27159.696</v>
      </c>
      <c r="CF58" s="545">
        <f t="shared" si="36"/>
        <v>18454.588</v>
      </c>
      <c r="CG58" s="545">
        <f t="shared" si="37"/>
        <v>18454.588</v>
      </c>
      <c r="CH58" s="545">
        <f t="shared" si="38"/>
        <v>8705.1080000000002</v>
      </c>
      <c r="CK58" s="547" t="s">
        <v>552</v>
      </c>
      <c r="CL58" s="546">
        <v>2469488</v>
      </c>
      <c r="CM58" s="546">
        <f t="shared" si="39"/>
        <v>2469.4879999999998</v>
      </c>
      <c r="CP58" s="547" t="s">
        <v>461</v>
      </c>
      <c r="CQ58" s="546">
        <v>27159696</v>
      </c>
      <c r="CR58" s="546">
        <v>18452653</v>
      </c>
      <c r="CS58" s="546">
        <v>18452653</v>
      </c>
      <c r="CT58" s="546">
        <v>8707043</v>
      </c>
      <c r="CU58" s="546">
        <f t="shared" si="64"/>
        <v>27159.696</v>
      </c>
      <c r="CV58" s="546">
        <f t="shared" si="65"/>
        <v>18452.652999999998</v>
      </c>
      <c r="CW58" s="546">
        <f t="shared" si="66"/>
        <v>18452.652999999998</v>
      </c>
      <c r="CX58" s="546">
        <f t="shared" si="67"/>
        <v>8707.0429999999997</v>
      </c>
      <c r="CZ58" s="547" t="s">
        <v>552</v>
      </c>
      <c r="DA58" s="546">
        <v>416500</v>
      </c>
      <c r="DB58" s="546">
        <f t="shared" si="40"/>
        <v>416.5</v>
      </c>
      <c r="DE58" s="544" t="s">
        <v>461</v>
      </c>
      <c r="DF58" s="545">
        <v>27159696</v>
      </c>
      <c r="DG58" s="545">
        <v>18445888</v>
      </c>
      <c r="DH58" s="545">
        <v>18445888</v>
      </c>
      <c r="DI58" s="545">
        <v>8713808</v>
      </c>
      <c r="DJ58" s="546">
        <f t="shared" si="41"/>
        <v>27159.696</v>
      </c>
      <c r="DK58" s="546">
        <f t="shared" si="42"/>
        <v>18445.887999999999</v>
      </c>
      <c r="DL58" s="546">
        <f t="shared" si="43"/>
        <v>18445.887999999999</v>
      </c>
      <c r="DM58" s="546">
        <f t="shared" si="44"/>
        <v>8713.8080000000009</v>
      </c>
      <c r="DP58" s="544" t="s">
        <v>368</v>
      </c>
      <c r="DQ58" s="545">
        <v>105981</v>
      </c>
      <c r="DR58" s="546">
        <f t="shared" si="45"/>
        <v>105.98099999999999</v>
      </c>
      <c r="DT58" s="544" t="s">
        <v>461</v>
      </c>
      <c r="DU58" s="545">
        <v>27159696</v>
      </c>
      <c r="DV58" s="545">
        <v>18445888</v>
      </c>
      <c r="DW58" s="545">
        <v>18445888</v>
      </c>
      <c r="DX58" s="545">
        <v>8713808</v>
      </c>
      <c r="DY58" s="546">
        <f t="shared" si="46"/>
        <v>27159.696</v>
      </c>
      <c r="DZ58" s="546">
        <f t="shared" si="47"/>
        <v>18445.887999999999</v>
      </c>
      <c r="EA58" s="546">
        <f t="shared" si="48"/>
        <v>18445.887999999999</v>
      </c>
      <c r="EB58" s="546">
        <f t="shared" si="49"/>
        <v>8713.8080000000009</v>
      </c>
      <c r="EE58" s="547" t="s">
        <v>373</v>
      </c>
      <c r="EF58" s="546">
        <v>16481707</v>
      </c>
      <c r="EG58" s="548">
        <f t="shared" si="50"/>
        <v>16481.706999999999</v>
      </c>
      <c r="EI58" s="547" t="s">
        <v>359</v>
      </c>
      <c r="EJ58" s="546">
        <v>23010000</v>
      </c>
      <c r="EK58" s="546">
        <v>22760013</v>
      </c>
      <c r="EL58" s="546">
        <v>22760013</v>
      </c>
      <c r="EM58" s="548">
        <f t="shared" si="51"/>
        <v>23010</v>
      </c>
      <c r="EN58" s="548">
        <f t="shared" si="52"/>
        <v>22760.012999999999</v>
      </c>
      <c r="EO58" s="548">
        <f t="shared" si="53"/>
        <v>22760.012999999999</v>
      </c>
      <c r="ER58" s="544" t="s">
        <v>375</v>
      </c>
      <c r="ES58" s="545">
        <v>1253747</v>
      </c>
      <c r="ET58" s="546">
        <f t="shared" si="54"/>
        <v>1253.7470000000001</v>
      </c>
      <c r="EW58" s="544" t="s">
        <v>359</v>
      </c>
      <c r="EX58" s="545">
        <v>0</v>
      </c>
      <c r="EY58" s="545">
        <v>23010000</v>
      </c>
      <c r="EZ58" s="545">
        <v>22760013</v>
      </c>
      <c r="FA58" s="545">
        <v>22760013</v>
      </c>
      <c r="FB58" s="545">
        <v>249987</v>
      </c>
      <c r="FC58" s="546">
        <f t="shared" si="55"/>
        <v>0</v>
      </c>
      <c r="FD58" s="546">
        <f t="shared" si="56"/>
        <v>23010</v>
      </c>
      <c r="FE58" s="546">
        <f t="shared" si="57"/>
        <v>22760.012999999999</v>
      </c>
      <c r="FF58" s="546">
        <f t="shared" si="58"/>
        <v>22760.012999999999</v>
      </c>
      <c r="FG58" s="546">
        <f t="shared" si="59"/>
        <v>249.98699999999999</v>
      </c>
      <c r="FJ58" s="547" t="s">
        <v>551</v>
      </c>
      <c r="FK58" s="546">
        <v>313784</v>
      </c>
      <c r="FL58" s="548">
        <f t="shared" si="60"/>
        <v>313.78399999999999</v>
      </c>
      <c r="FN58" s="549" t="s">
        <v>461</v>
      </c>
      <c r="FO58" s="550">
        <v>27159696</v>
      </c>
      <c r="FP58" s="550">
        <v>18445888</v>
      </c>
      <c r="FQ58" s="550">
        <v>18445888</v>
      </c>
      <c r="FR58" s="550">
        <f t="shared" si="61"/>
        <v>27159.696</v>
      </c>
      <c r="FS58" s="550">
        <f t="shared" si="62"/>
        <v>18445.887999999999</v>
      </c>
      <c r="FT58" s="550">
        <f t="shared" si="63"/>
        <v>18445.887999999999</v>
      </c>
    </row>
    <row r="59" spans="1:176" ht="15" customHeight="1" x14ac:dyDescent="0.25">
      <c r="A59" s="890" t="s">
        <v>888</v>
      </c>
      <c r="B59" s="544" t="s">
        <v>361</v>
      </c>
      <c r="C59" s="545">
        <v>0</v>
      </c>
      <c r="D59" s="545">
        <v>1074257000</v>
      </c>
      <c r="E59" s="545">
        <v>88498161</v>
      </c>
      <c r="F59" s="545">
        <v>985758839</v>
      </c>
      <c r="G59" s="545">
        <v>88498161</v>
      </c>
      <c r="H59" s="546">
        <f t="shared" si="10"/>
        <v>1119375.794</v>
      </c>
      <c r="I59" s="546">
        <f t="shared" si="11"/>
        <v>92215.083761999995</v>
      </c>
      <c r="J59" s="546">
        <f t="shared" si="12"/>
        <v>1027160.710238</v>
      </c>
      <c r="K59" s="546">
        <f t="shared" si="13"/>
        <v>92215.083761999995</v>
      </c>
      <c r="O59" s="544" t="s">
        <v>381</v>
      </c>
      <c r="P59" s="545">
        <v>487935</v>
      </c>
      <c r="Q59" s="546">
        <f t="shared" si="14"/>
        <v>508.42827</v>
      </c>
      <c r="S59" s="544" t="s">
        <v>361</v>
      </c>
      <c r="T59" s="545">
        <v>1074257000</v>
      </c>
      <c r="U59" s="545">
        <v>181357581</v>
      </c>
      <c r="V59" s="545">
        <v>181357581</v>
      </c>
      <c r="W59" s="545">
        <v>892899419</v>
      </c>
      <c r="X59" s="546">
        <f t="shared" si="15"/>
        <v>1119375.794</v>
      </c>
      <c r="Y59" s="546">
        <f t="shared" si="16"/>
        <v>188974.59940200002</v>
      </c>
      <c r="Z59" s="546">
        <f t="shared" si="17"/>
        <v>188974.59940200002</v>
      </c>
      <c r="AA59" s="546">
        <f t="shared" si="18"/>
        <v>930401.19459800003</v>
      </c>
      <c r="AC59" s="544" t="s">
        <v>555</v>
      </c>
      <c r="AD59" s="545">
        <v>1077413</v>
      </c>
      <c r="AE59" s="546">
        <f t="shared" si="19"/>
        <v>1077.413</v>
      </c>
      <c r="AG59" s="544" t="s">
        <v>360</v>
      </c>
      <c r="AH59" s="545">
        <v>68780000</v>
      </c>
      <c r="AI59" s="545">
        <v>0</v>
      </c>
      <c r="AJ59" s="545">
        <v>0</v>
      </c>
      <c r="AK59" s="545">
        <v>68780000</v>
      </c>
      <c r="AL59" s="545">
        <f t="shared" si="20"/>
        <v>68780</v>
      </c>
      <c r="AM59" s="545">
        <f t="shared" si="21"/>
        <v>0</v>
      </c>
      <c r="AN59" s="545">
        <f t="shared" si="22"/>
        <v>0</v>
      </c>
      <c r="AO59" s="545">
        <f t="shared" si="23"/>
        <v>68780</v>
      </c>
      <c r="AR59" s="544" t="s">
        <v>559</v>
      </c>
      <c r="AS59" s="545">
        <v>3135806</v>
      </c>
      <c r="AT59" s="545">
        <f t="shared" si="24"/>
        <v>3135.806</v>
      </c>
      <c r="AV59" s="544" t="s">
        <v>360</v>
      </c>
      <c r="AW59" s="545">
        <v>68780000</v>
      </c>
      <c r="AX59" s="545">
        <v>0</v>
      </c>
      <c r="AY59" s="545">
        <v>0</v>
      </c>
      <c r="AZ59" s="545">
        <v>68780000</v>
      </c>
      <c r="BA59" s="546">
        <f t="shared" si="25"/>
        <v>68780</v>
      </c>
      <c r="BB59" s="546">
        <f t="shared" si="26"/>
        <v>0</v>
      </c>
      <c r="BC59" s="546">
        <f t="shared" si="27"/>
        <v>0</v>
      </c>
      <c r="BD59" s="546">
        <f t="shared" si="28"/>
        <v>68780</v>
      </c>
      <c r="BG59" s="544" t="s">
        <v>384</v>
      </c>
      <c r="BH59" s="545">
        <v>2550359</v>
      </c>
      <c r="BI59" s="545">
        <f t="shared" si="29"/>
        <v>2550.3589999999999</v>
      </c>
      <c r="BK59" s="544" t="s">
        <v>360</v>
      </c>
      <c r="BL59" s="545">
        <v>68780000</v>
      </c>
      <c r="BM59" s="545">
        <v>0</v>
      </c>
      <c r="BN59" s="545">
        <v>0</v>
      </c>
      <c r="BO59" s="545">
        <v>68780000</v>
      </c>
      <c r="BP59" s="545">
        <f t="shared" si="30"/>
        <v>68780</v>
      </c>
      <c r="BQ59" s="545">
        <f t="shared" si="31"/>
        <v>0</v>
      </c>
      <c r="BR59" s="545">
        <f t="shared" si="32"/>
        <v>0</v>
      </c>
      <c r="BS59" s="545">
        <f t="shared" si="33"/>
        <v>68780</v>
      </c>
      <c r="BV59" s="544" t="s">
        <v>366</v>
      </c>
      <c r="BW59" s="545">
        <v>1399800</v>
      </c>
      <c r="BX59" s="546">
        <f t="shared" si="34"/>
        <v>1399.8</v>
      </c>
      <c r="BZ59" s="544" t="s">
        <v>360</v>
      </c>
      <c r="CA59" s="545">
        <v>68780000</v>
      </c>
      <c r="CB59" s="545">
        <v>0</v>
      </c>
      <c r="CC59" s="545">
        <v>0</v>
      </c>
      <c r="CD59" s="545">
        <v>68780000</v>
      </c>
      <c r="CE59" s="545">
        <f t="shared" si="35"/>
        <v>68780</v>
      </c>
      <c r="CF59" s="545">
        <f t="shared" si="36"/>
        <v>0</v>
      </c>
      <c r="CG59" s="545">
        <f t="shared" si="37"/>
        <v>0</v>
      </c>
      <c r="CH59" s="545">
        <f t="shared" si="38"/>
        <v>68780</v>
      </c>
      <c r="CK59" s="547" t="s">
        <v>366</v>
      </c>
      <c r="CL59" s="546">
        <v>2097018</v>
      </c>
      <c r="CM59" s="546">
        <f t="shared" si="39"/>
        <v>2097.018</v>
      </c>
      <c r="CP59" s="547" t="s">
        <v>360</v>
      </c>
      <c r="CQ59" s="546">
        <v>68780000</v>
      </c>
      <c r="CR59" s="546">
        <v>0</v>
      </c>
      <c r="CS59" s="546">
        <v>0</v>
      </c>
      <c r="CT59" s="546">
        <v>68780000</v>
      </c>
      <c r="CU59" s="546">
        <f t="shared" si="64"/>
        <v>68780</v>
      </c>
      <c r="CV59" s="546">
        <f t="shared" si="65"/>
        <v>0</v>
      </c>
      <c r="CW59" s="546">
        <f t="shared" si="66"/>
        <v>0</v>
      </c>
      <c r="CX59" s="546">
        <f t="shared" si="67"/>
        <v>68780</v>
      </c>
      <c r="CZ59" s="547" t="s">
        <v>367</v>
      </c>
      <c r="DA59" s="546">
        <v>10504249</v>
      </c>
      <c r="DB59" s="546">
        <f t="shared" si="40"/>
        <v>10504.249</v>
      </c>
      <c r="DE59" s="544" t="s">
        <v>360</v>
      </c>
      <c r="DF59" s="545">
        <v>68780000</v>
      </c>
      <c r="DG59" s="545">
        <v>0</v>
      </c>
      <c r="DH59" s="545">
        <v>0</v>
      </c>
      <c r="DI59" s="545">
        <v>68780000</v>
      </c>
      <c r="DJ59" s="546">
        <f t="shared" si="41"/>
        <v>68780</v>
      </c>
      <c r="DK59" s="546">
        <f t="shared" si="42"/>
        <v>0</v>
      </c>
      <c r="DL59" s="546">
        <f t="shared" si="43"/>
        <v>0</v>
      </c>
      <c r="DM59" s="546">
        <f t="shared" si="44"/>
        <v>68780</v>
      </c>
      <c r="DP59" s="544" t="s">
        <v>555</v>
      </c>
      <c r="DQ59" s="545">
        <v>1590343</v>
      </c>
      <c r="DR59" s="546">
        <f t="shared" si="45"/>
        <v>1590.3430000000001</v>
      </c>
      <c r="DT59" s="544" t="s">
        <v>360</v>
      </c>
      <c r="DU59" s="545">
        <v>68780000</v>
      </c>
      <c r="DV59" s="545">
        <v>0</v>
      </c>
      <c r="DW59" s="545">
        <v>0</v>
      </c>
      <c r="DX59" s="545">
        <v>68780000</v>
      </c>
      <c r="DY59" s="546">
        <f t="shared" si="46"/>
        <v>68780</v>
      </c>
      <c r="DZ59" s="546">
        <f t="shared" si="47"/>
        <v>0</v>
      </c>
      <c r="EA59" s="546">
        <f t="shared" si="48"/>
        <v>0</v>
      </c>
      <c r="EB59" s="546">
        <f t="shared" si="49"/>
        <v>68780</v>
      </c>
      <c r="EE59" s="547" t="s">
        <v>374</v>
      </c>
      <c r="EF59" s="546">
        <v>1942100</v>
      </c>
      <c r="EG59" s="548">
        <f t="shared" si="50"/>
        <v>1942.1</v>
      </c>
      <c r="EI59" s="547" t="s">
        <v>461</v>
      </c>
      <c r="EJ59" s="546">
        <v>27159696</v>
      </c>
      <c r="EK59" s="546">
        <v>18445888</v>
      </c>
      <c r="EL59" s="546">
        <v>18445888</v>
      </c>
      <c r="EM59" s="548">
        <f t="shared" si="51"/>
        <v>27159.696</v>
      </c>
      <c r="EN59" s="548">
        <f t="shared" si="52"/>
        <v>18445.887999999999</v>
      </c>
      <c r="EO59" s="548">
        <f t="shared" si="53"/>
        <v>18445.887999999999</v>
      </c>
      <c r="ER59" s="544" t="s">
        <v>376</v>
      </c>
      <c r="ES59" s="545">
        <v>225453</v>
      </c>
      <c r="ET59" s="546">
        <f t="shared" si="54"/>
        <v>225.453</v>
      </c>
      <c r="EW59" s="544" t="s">
        <v>461</v>
      </c>
      <c r="EX59" s="545">
        <v>0</v>
      </c>
      <c r="EY59" s="545">
        <v>27159696</v>
      </c>
      <c r="EZ59" s="545">
        <v>18445888</v>
      </c>
      <c r="FA59" s="545">
        <v>18445888</v>
      </c>
      <c r="FB59" s="545">
        <v>8713808</v>
      </c>
      <c r="FC59" s="546">
        <f t="shared" si="55"/>
        <v>0</v>
      </c>
      <c r="FD59" s="546">
        <f t="shared" si="56"/>
        <v>27159.696</v>
      </c>
      <c r="FE59" s="546">
        <f t="shared" si="57"/>
        <v>18445.887999999999</v>
      </c>
      <c r="FF59" s="546">
        <f t="shared" si="58"/>
        <v>18445.887999999999</v>
      </c>
      <c r="FG59" s="546">
        <f t="shared" si="59"/>
        <v>8713.8080000000009</v>
      </c>
      <c r="FJ59" s="547" t="s">
        <v>362</v>
      </c>
      <c r="FK59" s="546">
        <v>8801030</v>
      </c>
      <c r="FL59" s="548">
        <f t="shared" si="60"/>
        <v>8801.0300000000007</v>
      </c>
      <c r="FN59" s="549" t="s">
        <v>360</v>
      </c>
      <c r="FO59" s="550">
        <v>62105024</v>
      </c>
      <c r="FP59" s="550">
        <v>62105024</v>
      </c>
      <c r="FQ59" s="550">
        <v>62105024</v>
      </c>
      <c r="FR59" s="550">
        <f t="shared" si="61"/>
        <v>62105.023999999998</v>
      </c>
      <c r="FS59" s="550">
        <f t="shared" si="62"/>
        <v>62105.023999999998</v>
      </c>
      <c r="FT59" s="550">
        <f t="shared" si="63"/>
        <v>62105.023999999998</v>
      </c>
    </row>
    <row r="60" spans="1:176" ht="15" customHeight="1" x14ac:dyDescent="0.25">
      <c r="A60" s="890" t="s">
        <v>889</v>
      </c>
      <c r="B60" s="544" t="s">
        <v>549</v>
      </c>
      <c r="C60" s="545">
        <v>0</v>
      </c>
      <c r="D60" s="545">
        <v>1009080000</v>
      </c>
      <c r="E60" s="545">
        <v>78573999</v>
      </c>
      <c r="F60" s="545">
        <v>930506001</v>
      </c>
      <c r="G60" s="545">
        <v>78573999</v>
      </c>
      <c r="H60" s="546">
        <f t="shared" si="10"/>
        <v>1051461.3600000001</v>
      </c>
      <c r="I60" s="546">
        <f t="shared" si="11"/>
        <v>81874.106958000004</v>
      </c>
      <c r="J60" s="546">
        <f t="shared" si="12"/>
        <v>969587.25304200011</v>
      </c>
      <c r="K60" s="546">
        <f t="shared" si="13"/>
        <v>81874.106958000004</v>
      </c>
      <c r="O60" s="544" t="s">
        <v>561</v>
      </c>
      <c r="P60" s="545">
        <v>487935</v>
      </c>
      <c r="Q60" s="546">
        <f t="shared" si="14"/>
        <v>508.42827</v>
      </c>
      <c r="S60" s="544" t="s">
        <v>549</v>
      </c>
      <c r="T60" s="545">
        <v>1009080000</v>
      </c>
      <c r="U60" s="545">
        <v>162310675</v>
      </c>
      <c r="V60" s="545">
        <v>162310675</v>
      </c>
      <c r="W60" s="545">
        <v>846769325</v>
      </c>
      <c r="X60" s="546">
        <f t="shared" si="15"/>
        <v>1051461.3600000001</v>
      </c>
      <c r="Y60" s="546">
        <f t="shared" si="16"/>
        <v>169127.72334999999</v>
      </c>
      <c r="Z60" s="546">
        <f t="shared" si="17"/>
        <v>169127.72334999999</v>
      </c>
      <c r="AA60" s="546">
        <f t="shared" si="18"/>
        <v>882333.63665</v>
      </c>
      <c r="AC60" s="544" t="s">
        <v>371</v>
      </c>
      <c r="AD60" s="545">
        <v>2778645</v>
      </c>
      <c r="AE60" s="546">
        <f t="shared" si="19"/>
        <v>2778.645</v>
      </c>
      <c r="AG60" s="544" t="s">
        <v>361</v>
      </c>
      <c r="AH60" s="545">
        <v>1074257000</v>
      </c>
      <c r="AI60" s="545">
        <v>279704175</v>
      </c>
      <c r="AJ60" s="545">
        <v>279704175</v>
      </c>
      <c r="AK60" s="545">
        <v>794552825</v>
      </c>
      <c r="AL60" s="545">
        <f t="shared" si="20"/>
        <v>1074257</v>
      </c>
      <c r="AM60" s="545">
        <f t="shared" si="21"/>
        <v>279704.17499999999</v>
      </c>
      <c r="AN60" s="545">
        <f t="shared" si="22"/>
        <v>279704.17499999999</v>
      </c>
      <c r="AO60" s="545">
        <f t="shared" si="23"/>
        <v>794552.82499999995</v>
      </c>
      <c r="AR60" s="544" t="s">
        <v>381</v>
      </c>
      <c r="AS60" s="545">
        <v>3542420</v>
      </c>
      <c r="AT60" s="545">
        <f t="shared" si="24"/>
        <v>3542.42</v>
      </c>
      <c r="AV60" s="544" t="s">
        <v>361</v>
      </c>
      <c r="AW60" s="545">
        <v>1092561000</v>
      </c>
      <c r="AX60" s="545">
        <v>380004847</v>
      </c>
      <c r="AY60" s="545">
        <v>380004847</v>
      </c>
      <c r="AZ60" s="545">
        <v>712556153</v>
      </c>
      <c r="BA60" s="546">
        <f t="shared" si="25"/>
        <v>1092561</v>
      </c>
      <c r="BB60" s="546">
        <f t="shared" si="26"/>
        <v>380004.84700000001</v>
      </c>
      <c r="BC60" s="546">
        <f t="shared" si="27"/>
        <v>380004.84700000001</v>
      </c>
      <c r="BD60" s="546">
        <f t="shared" si="28"/>
        <v>712556.15300000005</v>
      </c>
      <c r="BG60" s="544" t="s">
        <v>385</v>
      </c>
      <c r="BH60" s="545">
        <v>4981340</v>
      </c>
      <c r="BI60" s="545">
        <f t="shared" si="29"/>
        <v>4981.34</v>
      </c>
      <c r="BK60" s="544" t="s">
        <v>361</v>
      </c>
      <c r="BL60" s="545">
        <v>1092561000</v>
      </c>
      <c r="BM60" s="545">
        <v>480562906</v>
      </c>
      <c r="BN60" s="545">
        <v>480562906</v>
      </c>
      <c r="BO60" s="545">
        <v>611998094</v>
      </c>
      <c r="BP60" s="545">
        <f t="shared" si="30"/>
        <v>1092561</v>
      </c>
      <c r="BQ60" s="545">
        <f t="shared" si="31"/>
        <v>480562.90600000002</v>
      </c>
      <c r="BR60" s="545">
        <f t="shared" si="32"/>
        <v>480562.90600000002</v>
      </c>
      <c r="BS60" s="545">
        <f t="shared" si="33"/>
        <v>611998.09400000004</v>
      </c>
      <c r="BV60" s="544" t="s">
        <v>479</v>
      </c>
      <c r="BW60" s="545">
        <v>30000000</v>
      </c>
      <c r="BX60" s="546">
        <f t="shared" si="34"/>
        <v>30000</v>
      </c>
      <c r="BZ60" s="544" t="s">
        <v>361</v>
      </c>
      <c r="CA60" s="545">
        <v>1105413453</v>
      </c>
      <c r="CB60" s="545">
        <v>576906901</v>
      </c>
      <c r="CC60" s="545">
        <v>576906901</v>
      </c>
      <c r="CD60" s="545">
        <v>528506552</v>
      </c>
      <c r="CE60" s="545">
        <f t="shared" si="35"/>
        <v>1105413.453</v>
      </c>
      <c r="CF60" s="545">
        <f t="shared" si="36"/>
        <v>576906.90099999995</v>
      </c>
      <c r="CG60" s="545">
        <f t="shared" si="37"/>
        <v>576906.90099999995</v>
      </c>
      <c r="CH60" s="545">
        <f t="shared" si="38"/>
        <v>528506.55200000003</v>
      </c>
      <c r="CK60" s="547" t="s">
        <v>367</v>
      </c>
      <c r="CL60" s="546">
        <v>8358159</v>
      </c>
      <c r="CM60" s="546">
        <f t="shared" si="39"/>
        <v>8358.1589999999997</v>
      </c>
      <c r="CP60" s="547" t="s">
        <v>361</v>
      </c>
      <c r="CQ60" s="546">
        <v>1105726619</v>
      </c>
      <c r="CR60" s="546">
        <v>664391505</v>
      </c>
      <c r="CS60" s="546">
        <v>664391505</v>
      </c>
      <c r="CT60" s="546">
        <v>441335114</v>
      </c>
      <c r="CU60" s="546">
        <f t="shared" si="64"/>
        <v>1105726.6189999999</v>
      </c>
      <c r="CV60" s="546">
        <f t="shared" si="65"/>
        <v>664391.505</v>
      </c>
      <c r="CW60" s="546">
        <f t="shared" si="66"/>
        <v>664391.505</v>
      </c>
      <c r="CX60" s="546">
        <f t="shared" si="67"/>
        <v>441335.114</v>
      </c>
      <c r="CZ60" s="547" t="s">
        <v>368</v>
      </c>
      <c r="DA60" s="546">
        <v>-829079</v>
      </c>
      <c r="DB60" s="546">
        <f t="shared" si="40"/>
        <v>-829.07899999999995</v>
      </c>
      <c r="DE60" s="544" t="s">
        <v>361</v>
      </c>
      <c r="DF60" s="545">
        <v>1105726619</v>
      </c>
      <c r="DG60" s="545">
        <v>746537087</v>
      </c>
      <c r="DH60" s="545">
        <v>746537087</v>
      </c>
      <c r="DI60" s="545">
        <v>359189532</v>
      </c>
      <c r="DJ60" s="546">
        <f t="shared" si="41"/>
        <v>1105726.6189999999</v>
      </c>
      <c r="DK60" s="546">
        <f t="shared" si="42"/>
        <v>746537.08700000006</v>
      </c>
      <c r="DL60" s="546">
        <f t="shared" si="43"/>
        <v>746537.08700000006</v>
      </c>
      <c r="DM60" s="546">
        <f t="shared" si="44"/>
        <v>359189.53200000001</v>
      </c>
      <c r="DP60" s="544" t="s">
        <v>371</v>
      </c>
      <c r="DQ60" s="545">
        <v>138971</v>
      </c>
      <c r="DR60" s="546">
        <f t="shared" si="45"/>
        <v>138.971</v>
      </c>
      <c r="DT60" s="544" t="s">
        <v>361</v>
      </c>
      <c r="DU60" s="545">
        <v>1107113453</v>
      </c>
      <c r="DV60" s="545">
        <v>828101100</v>
      </c>
      <c r="DW60" s="545">
        <v>828101100</v>
      </c>
      <c r="DX60" s="545">
        <v>279012353</v>
      </c>
      <c r="DY60" s="546">
        <f t="shared" si="46"/>
        <v>1107113.453</v>
      </c>
      <c r="DZ60" s="546">
        <f t="shared" si="47"/>
        <v>828101.1</v>
      </c>
      <c r="EA60" s="546">
        <f t="shared" si="48"/>
        <v>828101.1</v>
      </c>
      <c r="EB60" s="546">
        <f t="shared" si="49"/>
        <v>279012.353</v>
      </c>
      <c r="EE60" s="547" t="s">
        <v>375</v>
      </c>
      <c r="EF60" s="546">
        <v>1179235</v>
      </c>
      <c r="EG60" s="548">
        <f t="shared" si="50"/>
        <v>1179.2349999999999</v>
      </c>
      <c r="EI60" s="547" t="s">
        <v>360</v>
      </c>
      <c r="EJ60" s="546">
        <v>68780000</v>
      </c>
      <c r="EK60" s="546">
        <v>0</v>
      </c>
      <c r="EL60" s="546">
        <v>0</v>
      </c>
      <c r="EM60" s="548">
        <f t="shared" si="51"/>
        <v>68780</v>
      </c>
      <c r="EN60" s="548">
        <f t="shared" si="52"/>
        <v>0</v>
      </c>
      <c r="EO60" s="548">
        <f t="shared" si="53"/>
        <v>0</v>
      </c>
      <c r="ER60" s="544" t="s">
        <v>377</v>
      </c>
      <c r="ES60" s="545">
        <v>3940263</v>
      </c>
      <c r="ET60" s="546">
        <f t="shared" si="54"/>
        <v>3940.2629999999999</v>
      </c>
      <c r="EW60" s="544" t="s">
        <v>360</v>
      </c>
      <c r="EX60" s="545">
        <v>0</v>
      </c>
      <c r="EY60" s="545">
        <v>68780000</v>
      </c>
      <c r="EZ60" s="545">
        <v>0</v>
      </c>
      <c r="FA60" s="545">
        <v>0</v>
      </c>
      <c r="FB60" s="545">
        <v>68780000</v>
      </c>
      <c r="FC60" s="546">
        <f t="shared" si="55"/>
        <v>0</v>
      </c>
      <c r="FD60" s="546">
        <f t="shared" si="56"/>
        <v>68780</v>
      </c>
      <c r="FE60" s="546">
        <f t="shared" si="57"/>
        <v>0</v>
      </c>
      <c r="FF60" s="546">
        <f t="shared" si="58"/>
        <v>0</v>
      </c>
      <c r="FG60" s="546">
        <f t="shared" si="59"/>
        <v>68780</v>
      </c>
      <c r="FJ60" s="547" t="s">
        <v>990</v>
      </c>
      <c r="FK60" s="546">
        <v>425301</v>
      </c>
      <c r="FL60" s="548">
        <f t="shared" si="60"/>
        <v>425.30099999999999</v>
      </c>
      <c r="FN60" s="549" t="s">
        <v>361</v>
      </c>
      <c r="FO60" s="550">
        <v>1133833165</v>
      </c>
      <c r="FP60" s="550">
        <v>1085218458</v>
      </c>
      <c r="FQ60" s="550">
        <v>1085218458</v>
      </c>
      <c r="FR60" s="550">
        <f t="shared" si="61"/>
        <v>1133833.165</v>
      </c>
      <c r="FS60" s="550">
        <f t="shared" si="62"/>
        <v>1085218.4580000001</v>
      </c>
      <c r="FT60" s="550">
        <f t="shared" si="63"/>
        <v>1085218.4580000001</v>
      </c>
    </row>
    <row r="61" spans="1:176" ht="15" customHeight="1" x14ac:dyDescent="0.25">
      <c r="A61" s="890" t="s">
        <v>890</v>
      </c>
      <c r="B61" s="544" t="s">
        <v>550</v>
      </c>
      <c r="C61" s="545">
        <v>0</v>
      </c>
      <c r="D61" s="545">
        <v>984080000</v>
      </c>
      <c r="E61" s="545">
        <v>77619747</v>
      </c>
      <c r="F61" s="545">
        <v>906460253</v>
      </c>
      <c r="G61" s="545">
        <v>77619747</v>
      </c>
      <c r="H61" s="546">
        <f t="shared" si="10"/>
        <v>1025411.36</v>
      </c>
      <c r="I61" s="546">
        <f t="shared" si="11"/>
        <v>80879.776374000008</v>
      </c>
      <c r="J61" s="546">
        <f t="shared" si="12"/>
        <v>944531.58362600009</v>
      </c>
      <c r="K61" s="546">
        <f t="shared" si="13"/>
        <v>80879.776374000008</v>
      </c>
      <c r="O61" s="544" t="s">
        <v>386</v>
      </c>
      <c r="P61" s="545">
        <v>33860426</v>
      </c>
      <c r="Q61" s="546">
        <f t="shared" si="14"/>
        <v>35282.563891999998</v>
      </c>
      <c r="S61" s="544" t="s">
        <v>550</v>
      </c>
      <c r="T61" s="545">
        <v>991667000</v>
      </c>
      <c r="U61" s="545">
        <v>158868945</v>
      </c>
      <c r="V61" s="545">
        <v>158868945</v>
      </c>
      <c r="W61" s="545">
        <v>832798055</v>
      </c>
      <c r="X61" s="546">
        <f t="shared" si="15"/>
        <v>1033317.0140000001</v>
      </c>
      <c r="Y61" s="546">
        <f t="shared" si="16"/>
        <v>165541.44069000002</v>
      </c>
      <c r="Z61" s="546">
        <f t="shared" si="17"/>
        <v>165541.44069000002</v>
      </c>
      <c r="AA61" s="546">
        <f t="shared" si="18"/>
        <v>867775.57331000012</v>
      </c>
      <c r="AC61" s="544" t="s">
        <v>372</v>
      </c>
      <c r="AD61" s="545">
        <v>892500</v>
      </c>
      <c r="AE61" s="546">
        <f t="shared" si="19"/>
        <v>892.5</v>
      </c>
      <c r="AG61" s="544" t="s">
        <v>549</v>
      </c>
      <c r="AH61" s="545">
        <v>1009080000</v>
      </c>
      <c r="AI61" s="545">
        <v>245200706</v>
      </c>
      <c r="AJ61" s="545">
        <v>245200706</v>
      </c>
      <c r="AK61" s="545">
        <v>763879294</v>
      </c>
      <c r="AL61" s="545">
        <f t="shared" si="20"/>
        <v>1009080</v>
      </c>
      <c r="AM61" s="545">
        <f t="shared" si="21"/>
        <v>245200.70600000001</v>
      </c>
      <c r="AN61" s="545">
        <f t="shared" si="22"/>
        <v>245200.70600000001</v>
      </c>
      <c r="AO61" s="545">
        <f t="shared" si="23"/>
        <v>763879.29399999999</v>
      </c>
      <c r="AR61" s="544" t="s">
        <v>560</v>
      </c>
      <c r="AS61" s="545">
        <v>1981740</v>
      </c>
      <c r="AT61" s="545">
        <f t="shared" si="24"/>
        <v>1981.74</v>
      </c>
      <c r="AV61" s="544" t="s">
        <v>549</v>
      </c>
      <c r="AW61" s="545">
        <v>1027384000</v>
      </c>
      <c r="AX61" s="545">
        <v>334503530</v>
      </c>
      <c r="AY61" s="545">
        <v>334503530</v>
      </c>
      <c r="AZ61" s="545">
        <v>692880470</v>
      </c>
      <c r="BA61" s="546">
        <f t="shared" si="25"/>
        <v>1027384</v>
      </c>
      <c r="BB61" s="546">
        <f t="shared" si="26"/>
        <v>334503.53000000003</v>
      </c>
      <c r="BC61" s="546">
        <f t="shared" si="27"/>
        <v>334503.53000000003</v>
      </c>
      <c r="BD61" s="546">
        <f t="shared" si="28"/>
        <v>692880.47</v>
      </c>
      <c r="BG61" s="544" t="s">
        <v>386</v>
      </c>
      <c r="BH61" s="545">
        <v>35116616</v>
      </c>
      <c r="BI61" s="545">
        <f t="shared" si="29"/>
        <v>35116.616000000002</v>
      </c>
      <c r="BK61" s="544" t="s">
        <v>549</v>
      </c>
      <c r="BL61" s="545">
        <v>1027384000</v>
      </c>
      <c r="BM61" s="545">
        <v>425906306</v>
      </c>
      <c r="BN61" s="545">
        <v>425906306</v>
      </c>
      <c r="BO61" s="545">
        <v>601477694</v>
      </c>
      <c r="BP61" s="545">
        <f t="shared" si="30"/>
        <v>1027384</v>
      </c>
      <c r="BQ61" s="545">
        <f t="shared" si="31"/>
        <v>425906.30599999998</v>
      </c>
      <c r="BR61" s="545">
        <f t="shared" si="32"/>
        <v>425906.30599999998</v>
      </c>
      <c r="BS61" s="545">
        <f t="shared" si="33"/>
        <v>601477.69400000002</v>
      </c>
      <c r="BV61" s="544" t="s">
        <v>480</v>
      </c>
      <c r="BW61" s="545">
        <v>30000000</v>
      </c>
      <c r="BX61" s="546">
        <f t="shared" si="34"/>
        <v>30000</v>
      </c>
      <c r="BZ61" s="544" t="s">
        <v>549</v>
      </c>
      <c r="CA61" s="545">
        <v>1027384000</v>
      </c>
      <c r="CB61" s="545">
        <v>509397848</v>
      </c>
      <c r="CC61" s="545">
        <v>509397848</v>
      </c>
      <c r="CD61" s="545">
        <v>517986152</v>
      </c>
      <c r="CE61" s="545">
        <f t="shared" si="35"/>
        <v>1027384</v>
      </c>
      <c r="CF61" s="545">
        <f t="shared" si="36"/>
        <v>509397.848</v>
      </c>
      <c r="CG61" s="545">
        <f t="shared" si="37"/>
        <v>509397.848</v>
      </c>
      <c r="CH61" s="545">
        <f t="shared" si="38"/>
        <v>517986.152</v>
      </c>
      <c r="CK61" s="547" t="s">
        <v>368</v>
      </c>
      <c r="CL61" s="546">
        <v>3530599</v>
      </c>
      <c r="CM61" s="546">
        <f t="shared" si="39"/>
        <v>3530.5990000000002</v>
      </c>
      <c r="CP61" s="547" t="s">
        <v>549</v>
      </c>
      <c r="CQ61" s="546">
        <v>1027697166</v>
      </c>
      <c r="CR61" s="546">
        <v>590982560</v>
      </c>
      <c r="CS61" s="546">
        <v>590982560</v>
      </c>
      <c r="CT61" s="546">
        <v>436714606</v>
      </c>
      <c r="CU61" s="546">
        <f t="shared" si="64"/>
        <v>1027697.166</v>
      </c>
      <c r="CV61" s="546">
        <f t="shared" si="65"/>
        <v>590982.56000000006</v>
      </c>
      <c r="CW61" s="546">
        <f t="shared" si="66"/>
        <v>590982.56000000006</v>
      </c>
      <c r="CX61" s="546">
        <f t="shared" si="67"/>
        <v>436714.60600000003</v>
      </c>
      <c r="CZ61" s="547" t="s">
        <v>370</v>
      </c>
      <c r="DA61" s="546">
        <v>8726925</v>
      </c>
      <c r="DB61" s="546">
        <f t="shared" si="40"/>
        <v>8726.9249999999993</v>
      </c>
      <c r="DE61" s="544" t="s">
        <v>549</v>
      </c>
      <c r="DF61" s="545">
        <v>1027697166</v>
      </c>
      <c r="DG61" s="545">
        <v>669331354</v>
      </c>
      <c r="DH61" s="545">
        <v>669331354</v>
      </c>
      <c r="DI61" s="545">
        <v>358365812</v>
      </c>
      <c r="DJ61" s="546">
        <f t="shared" si="41"/>
        <v>1027697.166</v>
      </c>
      <c r="DK61" s="546">
        <f t="shared" si="42"/>
        <v>669331.35400000005</v>
      </c>
      <c r="DL61" s="546">
        <f t="shared" si="43"/>
        <v>669331.35400000005</v>
      </c>
      <c r="DM61" s="546">
        <f t="shared" si="44"/>
        <v>358365.81199999998</v>
      </c>
      <c r="DP61" s="544" t="s">
        <v>373</v>
      </c>
      <c r="DQ61" s="545">
        <v>20145664</v>
      </c>
      <c r="DR61" s="546">
        <f t="shared" si="45"/>
        <v>20145.664000000001</v>
      </c>
      <c r="DT61" s="544" t="s">
        <v>549</v>
      </c>
      <c r="DU61" s="545">
        <v>1027384000</v>
      </c>
      <c r="DV61" s="545">
        <v>749456739</v>
      </c>
      <c r="DW61" s="545">
        <v>749456739</v>
      </c>
      <c r="DX61" s="545">
        <v>277927261</v>
      </c>
      <c r="DY61" s="546">
        <f t="shared" si="46"/>
        <v>1027384</v>
      </c>
      <c r="DZ61" s="546">
        <f t="shared" si="47"/>
        <v>749456.73899999994</v>
      </c>
      <c r="EA61" s="546">
        <f t="shared" si="48"/>
        <v>749456.73899999994</v>
      </c>
      <c r="EB61" s="546">
        <f t="shared" si="49"/>
        <v>277927.261</v>
      </c>
      <c r="EE61" s="547" t="s">
        <v>376</v>
      </c>
      <c r="EF61" s="546">
        <v>304600</v>
      </c>
      <c r="EG61" s="548">
        <f t="shared" si="50"/>
        <v>304.60000000000002</v>
      </c>
      <c r="EI61" s="547" t="s">
        <v>361</v>
      </c>
      <c r="EJ61" s="546">
        <v>1109613453</v>
      </c>
      <c r="EK61" s="546">
        <v>907554823</v>
      </c>
      <c r="EL61" s="546">
        <v>907554823</v>
      </c>
      <c r="EM61" s="548">
        <f t="shared" si="51"/>
        <v>1109613.453</v>
      </c>
      <c r="EN61" s="548">
        <f t="shared" si="52"/>
        <v>907554.82299999997</v>
      </c>
      <c r="EO61" s="548">
        <f t="shared" si="53"/>
        <v>907554.82299999997</v>
      </c>
      <c r="ER61" s="544" t="s">
        <v>378</v>
      </c>
      <c r="ES61" s="545">
        <v>10930292</v>
      </c>
      <c r="ET61" s="546">
        <f t="shared" si="54"/>
        <v>10930.291999999999</v>
      </c>
      <c r="EW61" s="544" t="s">
        <v>361</v>
      </c>
      <c r="EX61" s="545">
        <v>0</v>
      </c>
      <c r="EY61" s="545">
        <v>1113613453</v>
      </c>
      <c r="EZ61" s="545">
        <v>987407654</v>
      </c>
      <c r="FA61" s="545">
        <v>987407654</v>
      </c>
      <c r="FB61" s="545">
        <v>126205799</v>
      </c>
      <c r="FC61" s="546">
        <f t="shared" si="55"/>
        <v>0</v>
      </c>
      <c r="FD61" s="546">
        <f t="shared" si="56"/>
        <v>1113613.453</v>
      </c>
      <c r="FE61" s="546">
        <f t="shared" si="57"/>
        <v>987407.65399999998</v>
      </c>
      <c r="FF61" s="546">
        <f t="shared" si="58"/>
        <v>987407.65399999998</v>
      </c>
      <c r="FG61" s="546">
        <f t="shared" si="59"/>
        <v>126205.799</v>
      </c>
      <c r="FJ61" s="547" t="s">
        <v>364</v>
      </c>
      <c r="FK61" s="546">
        <v>607707177</v>
      </c>
      <c r="FL61" s="548">
        <f t="shared" si="60"/>
        <v>607707.17700000003</v>
      </c>
      <c r="FN61" s="549" t="s">
        <v>549</v>
      </c>
      <c r="FO61" s="550">
        <v>1037602000</v>
      </c>
      <c r="FP61" s="550">
        <v>990871132</v>
      </c>
      <c r="FQ61" s="550">
        <v>990871132</v>
      </c>
      <c r="FR61" s="550">
        <f t="shared" si="61"/>
        <v>1037602</v>
      </c>
      <c r="FS61" s="550">
        <f t="shared" si="62"/>
        <v>990871.13199999998</v>
      </c>
      <c r="FT61" s="550">
        <f t="shared" si="63"/>
        <v>990871.13199999998</v>
      </c>
    </row>
    <row r="62" spans="1:176" ht="15" customHeight="1" x14ac:dyDescent="0.25">
      <c r="A62" s="890" t="s">
        <v>890</v>
      </c>
      <c r="B62" s="544" t="s">
        <v>551</v>
      </c>
      <c r="C62" s="545">
        <v>0</v>
      </c>
      <c r="D62" s="545">
        <v>25000000</v>
      </c>
      <c r="E62" s="545">
        <v>954252</v>
      </c>
      <c r="F62" s="545">
        <v>24045748</v>
      </c>
      <c r="G62" s="545">
        <v>954252</v>
      </c>
      <c r="H62" s="546">
        <f t="shared" si="10"/>
        <v>26050</v>
      </c>
      <c r="I62" s="546">
        <f t="shared" si="11"/>
        <v>994.33058399999993</v>
      </c>
      <c r="J62" s="546">
        <f t="shared" si="12"/>
        <v>25055.669416000001</v>
      </c>
      <c r="K62" s="546">
        <f t="shared" si="13"/>
        <v>994.33058399999993</v>
      </c>
      <c r="O62" s="544" t="s">
        <v>387</v>
      </c>
      <c r="P62" s="545">
        <v>6562499</v>
      </c>
      <c r="Q62" s="546">
        <f t="shared" si="14"/>
        <v>6838.1239580000001</v>
      </c>
      <c r="S62" s="544" t="s">
        <v>551</v>
      </c>
      <c r="T62" s="545">
        <v>17413000</v>
      </c>
      <c r="U62" s="545">
        <v>3441730</v>
      </c>
      <c r="V62" s="545">
        <v>3441730</v>
      </c>
      <c r="W62" s="545">
        <v>13971270</v>
      </c>
      <c r="X62" s="546">
        <f t="shared" si="15"/>
        <v>18144.346000000001</v>
      </c>
      <c r="Y62" s="546">
        <f t="shared" si="16"/>
        <v>3586.2826600000003</v>
      </c>
      <c r="Z62" s="546">
        <f t="shared" si="17"/>
        <v>3586.2826600000003</v>
      </c>
      <c r="AA62" s="546">
        <f t="shared" si="18"/>
        <v>14558.063340000001</v>
      </c>
      <c r="AC62" s="544" t="s">
        <v>373</v>
      </c>
      <c r="AD62" s="545">
        <v>14913204</v>
      </c>
      <c r="AE62" s="546">
        <f t="shared" si="19"/>
        <v>14913.204</v>
      </c>
      <c r="AG62" s="544" t="s">
        <v>550</v>
      </c>
      <c r="AH62" s="545">
        <v>993667000</v>
      </c>
      <c r="AI62" s="545">
        <v>240426374</v>
      </c>
      <c r="AJ62" s="545">
        <v>240426374</v>
      </c>
      <c r="AK62" s="545">
        <v>753240626</v>
      </c>
      <c r="AL62" s="545">
        <f t="shared" si="20"/>
        <v>993667</v>
      </c>
      <c r="AM62" s="545">
        <f t="shared" si="21"/>
        <v>240426.37400000001</v>
      </c>
      <c r="AN62" s="545">
        <f t="shared" si="22"/>
        <v>240426.37400000001</v>
      </c>
      <c r="AO62" s="545">
        <f t="shared" si="23"/>
        <v>753240.62600000005</v>
      </c>
      <c r="AR62" s="544" t="s">
        <v>561</v>
      </c>
      <c r="AS62" s="545">
        <v>917189</v>
      </c>
      <c r="AT62" s="545">
        <f t="shared" si="24"/>
        <v>917.18899999999996</v>
      </c>
      <c r="AV62" s="544" t="s">
        <v>550</v>
      </c>
      <c r="AW62" s="545">
        <v>1011971000</v>
      </c>
      <c r="AX62" s="545">
        <v>326282903</v>
      </c>
      <c r="AY62" s="545">
        <v>326282903</v>
      </c>
      <c r="AZ62" s="545">
        <v>685688097</v>
      </c>
      <c r="BA62" s="546">
        <f t="shared" si="25"/>
        <v>1011971</v>
      </c>
      <c r="BB62" s="546">
        <f t="shared" si="26"/>
        <v>326282.90299999999</v>
      </c>
      <c r="BC62" s="546">
        <f t="shared" si="27"/>
        <v>326282.90299999999</v>
      </c>
      <c r="BD62" s="546">
        <f t="shared" si="28"/>
        <v>685688.09699999995</v>
      </c>
      <c r="BG62" s="544" t="s">
        <v>387</v>
      </c>
      <c r="BH62" s="545">
        <v>9325548</v>
      </c>
      <c r="BI62" s="545">
        <f t="shared" si="29"/>
        <v>9325.5480000000007</v>
      </c>
      <c r="BK62" s="544" t="s">
        <v>550</v>
      </c>
      <c r="BL62" s="545">
        <v>1011971000</v>
      </c>
      <c r="BM62" s="545">
        <v>416774130</v>
      </c>
      <c r="BN62" s="545">
        <v>416774130</v>
      </c>
      <c r="BO62" s="545">
        <v>595196870</v>
      </c>
      <c r="BP62" s="545">
        <f t="shared" si="30"/>
        <v>1011971</v>
      </c>
      <c r="BQ62" s="545">
        <f t="shared" si="31"/>
        <v>416774.13</v>
      </c>
      <c r="BR62" s="545">
        <f t="shared" si="32"/>
        <v>416774.13</v>
      </c>
      <c r="BS62" s="545">
        <f t="shared" si="33"/>
        <v>595196.87</v>
      </c>
      <c r="BV62" s="544" t="s">
        <v>367</v>
      </c>
      <c r="BW62" s="545">
        <v>4238584</v>
      </c>
      <c r="BX62" s="546">
        <f t="shared" si="34"/>
        <v>4238.5839999999998</v>
      </c>
      <c r="BZ62" s="544" t="s">
        <v>550</v>
      </c>
      <c r="CA62" s="545">
        <v>1011946000</v>
      </c>
      <c r="CB62" s="545">
        <v>498816673</v>
      </c>
      <c r="CC62" s="545">
        <v>498816673</v>
      </c>
      <c r="CD62" s="545">
        <v>513129327</v>
      </c>
      <c r="CE62" s="545">
        <f t="shared" si="35"/>
        <v>1011946</v>
      </c>
      <c r="CF62" s="545">
        <f t="shared" si="36"/>
        <v>498816.67300000001</v>
      </c>
      <c r="CG62" s="545">
        <f t="shared" si="37"/>
        <v>498816.67300000001</v>
      </c>
      <c r="CH62" s="545">
        <f t="shared" si="38"/>
        <v>513129.32699999999</v>
      </c>
      <c r="CK62" s="547" t="s">
        <v>370</v>
      </c>
      <c r="CL62" s="546">
        <v>3218676</v>
      </c>
      <c r="CM62" s="546">
        <f t="shared" si="39"/>
        <v>3218.6759999999999</v>
      </c>
      <c r="CP62" s="547" t="s">
        <v>550</v>
      </c>
      <c r="CQ62" s="546">
        <v>1011946000</v>
      </c>
      <c r="CR62" s="546">
        <v>579353811</v>
      </c>
      <c r="CS62" s="546">
        <v>579353811</v>
      </c>
      <c r="CT62" s="546">
        <v>432592189</v>
      </c>
      <c r="CU62" s="546">
        <f t="shared" si="64"/>
        <v>1011946</v>
      </c>
      <c r="CV62" s="546">
        <f t="shared" si="65"/>
        <v>579353.81099999999</v>
      </c>
      <c r="CW62" s="546">
        <f t="shared" si="66"/>
        <v>579353.81099999999</v>
      </c>
      <c r="CX62" s="546">
        <f t="shared" si="67"/>
        <v>432592.18900000001</v>
      </c>
      <c r="CZ62" s="547" t="s">
        <v>555</v>
      </c>
      <c r="DA62" s="546">
        <v>656384</v>
      </c>
      <c r="DB62" s="546">
        <f t="shared" si="40"/>
        <v>656.38400000000001</v>
      </c>
      <c r="DE62" s="544" t="s">
        <v>550</v>
      </c>
      <c r="DF62" s="545">
        <v>1012528614</v>
      </c>
      <c r="DG62" s="545">
        <v>656662851</v>
      </c>
      <c r="DH62" s="545">
        <v>656662851</v>
      </c>
      <c r="DI62" s="545">
        <v>355865763</v>
      </c>
      <c r="DJ62" s="546">
        <f t="shared" si="41"/>
        <v>1012528.6139999999</v>
      </c>
      <c r="DK62" s="546">
        <f t="shared" si="42"/>
        <v>656662.85100000002</v>
      </c>
      <c r="DL62" s="546">
        <f t="shared" si="43"/>
        <v>656662.85100000002</v>
      </c>
      <c r="DM62" s="546">
        <f t="shared" si="44"/>
        <v>355865.76299999998</v>
      </c>
      <c r="DP62" s="544" t="s">
        <v>374</v>
      </c>
      <c r="DQ62" s="545">
        <v>1409528</v>
      </c>
      <c r="DR62" s="546">
        <f t="shared" si="45"/>
        <v>1409.528</v>
      </c>
      <c r="DT62" s="544" t="s">
        <v>550</v>
      </c>
      <c r="DU62" s="545">
        <v>1012215448</v>
      </c>
      <c r="DV62" s="545">
        <v>736265728</v>
      </c>
      <c r="DW62" s="545">
        <v>736265728</v>
      </c>
      <c r="DX62" s="545">
        <v>275949720</v>
      </c>
      <c r="DY62" s="546">
        <f t="shared" si="46"/>
        <v>1012215.448</v>
      </c>
      <c r="DZ62" s="546">
        <f t="shared" si="47"/>
        <v>736265.728</v>
      </c>
      <c r="EA62" s="546">
        <f t="shared" si="48"/>
        <v>736265.728</v>
      </c>
      <c r="EB62" s="546">
        <f t="shared" si="49"/>
        <v>275949.71999999997</v>
      </c>
      <c r="EE62" s="547" t="s">
        <v>377</v>
      </c>
      <c r="EF62" s="546">
        <v>687449</v>
      </c>
      <c r="EG62" s="548">
        <f t="shared" si="50"/>
        <v>687.44899999999996</v>
      </c>
      <c r="EI62" s="547" t="s">
        <v>549</v>
      </c>
      <c r="EJ62" s="546">
        <v>1027384000</v>
      </c>
      <c r="EK62" s="546">
        <v>825560646</v>
      </c>
      <c r="EL62" s="546">
        <v>825560646</v>
      </c>
      <c r="EM62" s="548">
        <f t="shared" si="51"/>
        <v>1027384</v>
      </c>
      <c r="EN62" s="548">
        <f t="shared" si="52"/>
        <v>825560.64599999995</v>
      </c>
      <c r="EO62" s="548">
        <f t="shared" si="53"/>
        <v>825560.64599999995</v>
      </c>
      <c r="ER62" s="544" t="s">
        <v>559</v>
      </c>
      <c r="ES62" s="545">
        <v>813975</v>
      </c>
      <c r="ET62" s="546">
        <f t="shared" si="54"/>
        <v>813.97500000000002</v>
      </c>
      <c r="EW62" s="544" t="s">
        <v>549</v>
      </c>
      <c r="EX62" s="545">
        <v>0</v>
      </c>
      <c r="EY62" s="545">
        <v>1027384000</v>
      </c>
      <c r="EZ62" s="545">
        <v>902286659</v>
      </c>
      <c r="FA62" s="545">
        <v>902286659</v>
      </c>
      <c r="FB62" s="545">
        <v>125097341</v>
      </c>
      <c r="FC62" s="546">
        <f t="shared" si="55"/>
        <v>0</v>
      </c>
      <c r="FD62" s="546">
        <f t="shared" si="56"/>
        <v>1027384</v>
      </c>
      <c r="FE62" s="546">
        <f t="shared" si="57"/>
        <v>902286.65899999999</v>
      </c>
      <c r="FF62" s="546">
        <f t="shared" si="58"/>
        <v>902286.65899999999</v>
      </c>
      <c r="FG62" s="546">
        <f t="shared" si="59"/>
        <v>125097.341</v>
      </c>
      <c r="FJ62" s="547" t="s">
        <v>367</v>
      </c>
      <c r="FK62" s="546">
        <v>21562241</v>
      </c>
      <c r="FL62" s="548">
        <f t="shared" si="60"/>
        <v>21562.241000000002</v>
      </c>
      <c r="FN62" s="549" t="s">
        <v>550</v>
      </c>
      <c r="FO62" s="550">
        <v>1018851951</v>
      </c>
      <c r="FP62" s="550">
        <v>975611039</v>
      </c>
      <c r="FQ62" s="550">
        <v>975611039</v>
      </c>
      <c r="FR62" s="550">
        <f t="shared" si="61"/>
        <v>1018851.951</v>
      </c>
      <c r="FS62" s="550">
        <f t="shared" si="62"/>
        <v>975611.03899999999</v>
      </c>
      <c r="FT62" s="550">
        <f t="shared" si="63"/>
        <v>975611.03899999999</v>
      </c>
    </row>
    <row r="63" spans="1:176" ht="15" customHeight="1" x14ac:dyDescent="0.25">
      <c r="A63" s="890" t="s">
        <v>889</v>
      </c>
      <c r="B63" s="544" t="s">
        <v>362</v>
      </c>
      <c r="C63" s="545">
        <v>0</v>
      </c>
      <c r="D63" s="545">
        <v>65177000</v>
      </c>
      <c r="E63" s="545">
        <v>9924162</v>
      </c>
      <c r="F63" s="545">
        <v>55252838</v>
      </c>
      <c r="G63" s="545">
        <v>9924162</v>
      </c>
      <c r="H63" s="546">
        <f t="shared" si="10"/>
        <v>67914.434000000008</v>
      </c>
      <c r="I63" s="546">
        <f t="shared" si="11"/>
        <v>10340.976804</v>
      </c>
      <c r="J63" s="546">
        <f t="shared" si="12"/>
        <v>57573.457196000003</v>
      </c>
      <c r="K63" s="546">
        <f t="shared" si="13"/>
        <v>10340.976804</v>
      </c>
      <c r="O63" s="544" t="s">
        <v>471</v>
      </c>
      <c r="P63" s="545">
        <v>11589222</v>
      </c>
      <c r="Q63" s="546">
        <f t="shared" si="14"/>
        <v>12075.969324</v>
      </c>
      <c r="S63" s="544" t="s">
        <v>362</v>
      </c>
      <c r="T63" s="545">
        <v>65177000</v>
      </c>
      <c r="U63" s="545">
        <v>19046906</v>
      </c>
      <c r="V63" s="545">
        <v>19046906</v>
      </c>
      <c r="W63" s="545">
        <v>46130094</v>
      </c>
      <c r="X63" s="546">
        <f t="shared" si="15"/>
        <v>67914.434000000008</v>
      </c>
      <c r="Y63" s="546">
        <f t="shared" si="16"/>
        <v>19846.876052</v>
      </c>
      <c r="Z63" s="546">
        <f t="shared" si="17"/>
        <v>19846.876052</v>
      </c>
      <c r="AA63" s="546">
        <f t="shared" si="18"/>
        <v>48067.557948000001</v>
      </c>
      <c r="AC63" s="544" t="s">
        <v>374</v>
      </c>
      <c r="AD63" s="545">
        <v>670706</v>
      </c>
      <c r="AE63" s="546">
        <f t="shared" si="19"/>
        <v>670.70600000000002</v>
      </c>
      <c r="AG63" s="544" t="s">
        <v>551</v>
      </c>
      <c r="AH63" s="545">
        <v>15413000</v>
      </c>
      <c r="AI63" s="545">
        <v>4774332</v>
      </c>
      <c r="AJ63" s="545">
        <v>4774332</v>
      </c>
      <c r="AK63" s="545">
        <v>10638668</v>
      </c>
      <c r="AL63" s="545">
        <f t="shared" si="20"/>
        <v>15413</v>
      </c>
      <c r="AM63" s="545">
        <f t="shared" si="21"/>
        <v>4774.3320000000003</v>
      </c>
      <c r="AN63" s="545">
        <f t="shared" si="22"/>
        <v>4774.3320000000003</v>
      </c>
      <c r="AO63" s="545">
        <f t="shared" si="23"/>
        <v>10638.668</v>
      </c>
      <c r="AR63" s="544" t="s">
        <v>563</v>
      </c>
      <c r="AS63" s="545">
        <v>100000</v>
      </c>
      <c r="AT63" s="545">
        <f t="shared" si="24"/>
        <v>100</v>
      </c>
      <c r="AV63" s="544" t="s">
        <v>551</v>
      </c>
      <c r="AW63" s="545">
        <v>15413000</v>
      </c>
      <c r="AX63" s="545">
        <v>8220627</v>
      </c>
      <c r="AY63" s="545">
        <v>8220627</v>
      </c>
      <c r="AZ63" s="545">
        <v>7192373</v>
      </c>
      <c r="BA63" s="546">
        <f t="shared" si="25"/>
        <v>15413</v>
      </c>
      <c r="BB63" s="546">
        <f t="shared" si="26"/>
        <v>8220.6270000000004</v>
      </c>
      <c r="BC63" s="546">
        <f t="shared" si="27"/>
        <v>8220.6270000000004</v>
      </c>
      <c r="BD63" s="546">
        <f t="shared" si="28"/>
        <v>7192.3729999999996</v>
      </c>
      <c r="BG63" s="544" t="s">
        <v>471</v>
      </c>
      <c r="BH63" s="545">
        <v>833190</v>
      </c>
      <c r="BI63" s="545">
        <f t="shared" si="29"/>
        <v>833.19</v>
      </c>
      <c r="BK63" s="544" t="s">
        <v>551</v>
      </c>
      <c r="BL63" s="545">
        <v>15413000</v>
      </c>
      <c r="BM63" s="545">
        <v>9132176</v>
      </c>
      <c r="BN63" s="545">
        <v>9132176</v>
      </c>
      <c r="BO63" s="545">
        <v>6280824</v>
      </c>
      <c r="BP63" s="545">
        <f t="shared" si="30"/>
        <v>15413</v>
      </c>
      <c r="BQ63" s="545">
        <f t="shared" si="31"/>
        <v>9132.1759999999995</v>
      </c>
      <c r="BR63" s="545">
        <f t="shared" si="32"/>
        <v>9132.1759999999995</v>
      </c>
      <c r="BS63" s="545">
        <f t="shared" si="33"/>
        <v>6280.8239999999996</v>
      </c>
      <c r="BV63" s="544" t="s">
        <v>555</v>
      </c>
      <c r="BW63" s="545">
        <v>746594</v>
      </c>
      <c r="BX63" s="546">
        <f t="shared" si="34"/>
        <v>746.59400000000005</v>
      </c>
      <c r="BZ63" s="544" t="s">
        <v>551</v>
      </c>
      <c r="CA63" s="545">
        <v>15438000</v>
      </c>
      <c r="CB63" s="545">
        <v>10581175</v>
      </c>
      <c r="CC63" s="545">
        <v>10581175</v>
      </c>
      <c r="CD63" s="545">
        <v>4856825</v>
      </c>
      <c r="CE63" s="545">
        <f t="shared" si="35"/>
        <v>15438</v>
      </c>
      <c r="CF63" s="545">
        <f t="shared" si="36"/>
        <v>10581.174999999999</v>
      </c>
      <c r="CG63" s="545">
        <f t="shared" si="37"/>
        <v>10581.174999999999</v>
      </c>
      <c r="CH63" s="545">
        <f t="shared" si="38"/>
        <v>4856.8249999999998</v>
      </c>
      <c r="CK63" s="547" t="s">
        <v>555</v>
      </c>
      <c r="CL63" s="546">
        <v>1324470</v>
      </c>
      <c r="CM63" s="546">
        <f t="shared" si="39"/>
        <v>1324.47</v>
      </c>
      <c r="CP63" s="547" t="s">
        <v>551</v>
      </c>
      <c r="CQ63" s="546">
        <v>15751166</v>
      </c>
      <c r="CR63" s="546">
        <v>11628749</v>
      </c>
      <c r="CS63" s="546">
        <v>11628749</v>
      </c>
      <c r="CT63" s="546">
        <v>4122417</v>
      </c>
      <c r="CU63" s="546">
        <f t="shared" si="64"/>
        <v>15751.165999999999</v>
      </c>
      <c r="CV63" s="546">
        <f t="shared" si="65"/>
        <v>11628.749</v>
      </c>
      <c r="CW63" s="546">
        <f t="shared" si="66"/>
        <v>11628.749</v>
      </c>
      <c r="CX63" s="546">
        <f t="shared" si="67"/>
        <v>4122.4170000000004</v>
      </c>
      <c r="CZ63" s="547" t="s">
        <v>556</v>
      </c>
      <c r="DA63" s="546">
        <v>692580</v>
      </c>
      <c r="DB63" s="546">
        <f t="shared" si="40"/>
        <v>692.58</v>
      </c>
      <c r="DE63" s="544" t="s">
        <v>551</v>
      </c>
      <c r="DF63" s="545">
        <v>15168552</v>
      </c>
      <c r="DG63" s="545">
        <v>12668503</v>
      </c>
      <c r="DH63" s="545">
        <v>12668503</v>
      </c>
      <c r="DI63" s="545">
        <v>2500049</v>
      </c>
      <c r="DJ63" s="546">
        <f t="shared" si="41"/>
        <v>15168.552</v>
      </c>
      <c r="DK63" s="546">
        <f t="shared" si="42"/>
        <v>12668.503000000001</v>
      </c>
      <c r="DL63" s="546">
        <f t="shared" si="43"/>
        <v>12668.503000000001</v>
      </c>
      <c r="DM63" s="546">
        <f t="shared" si="44"/>
        <v>2500.049</v>
      </c>
      <c r="DP63" s="544" t="s">
        <v>375</v>
      </c>
      <c r="DQ63" s="545">
        <v>873331</v>
      </c>
      <c r="DR63" s="546">
        <f t="shared" si="45"/>
        <v>873.33100000000002</v>
      </c>
      <c r="DT63" s="544" t="s">
        <v>551</v>
      </c>
      <c r="DU63" s="545">
        <v>15168552</v>
      </c>
      <c r="DV63" s="545">
        <v>13191011</v>
      </c>
      <c r="DW63" s="545">
        <v>13191011</v>
      </c>
      <c r="DX63" s="545">
        <v>1977541</v>
      </c>
      <c r="DY63" s="546">
        <f t="shared" si="46"/>
        <v>15168.552</v>
      </c>
      <c r="DZ63" s="546">
        <f t="shared" si="47"/>
        <v>13191.011</v>
      </c>
      <c r="EA63" s="546">
        <f t="shared" si="48"/>
        <v>13191.011</v>
      </c>
      <c r="EB63" s="546">
        <f t="shared" si="49"/>
        <v>1977.5409999999999</v>
      </c>
      <c r="EE63" s="547" t="s">
        <v>378</v>
      </c>
      <c r="EF63" s="546">
        <v>5465156</v>
      </c>
      <c r="EG63" s="548">
        <f t="shared" si="50"/>
        <v>5465.1559999999999</v>
      </c>
      <c r="EI63" s="547" t="s">
        <v>550</v>
      </c>
      <c r="EJ63" s="546">
        <v>1012215448</v>
      </c>
      <c r="EK63" s="546">
        <v>811534837</v>
      </c>
      <c r="EL63" s="546">
        <v>811534837</v>
      </c>
      <c r="EM63" s="548">
        <f t="shared" si="51"/>
        <v>1012215.448</v>
      </c>
      <c r="EN63" s="548">
        <f t="shared" si="52"/>
        <v>811534.83700000006</v>
      </c>
      <c r="EO63" s="548">
        <f t="shared" si="53"/>
        <v>811534.83700000006</v>
      </c>
      <c r="ER63" s="544" t="s">
        <v>381</v>
      </c>
      <c r="ES63" s="545">
        <v>19912943</v>
      </c>
      <c r="ET63" s="546">
        <f t="shared" si="54"/>
        <v>19912.942999999999</v>
      </c>
      <c r="EW63" s="544" t="s">
        <v>550</v>
      </c>
      <c r="EX63" s="545">
        <v>0</v>
      </c>
      <c r="EY63" s="545">
        <v>1011452448</v>
      </c>
      <c r="EZ63" s="545">
        <v>887340350</v>
      </c>
      <c r="FA63" s="545">
        <v>887340350</v>
      </c>
      <c r="FB63" s="545">
        <v>124112098</v>
      </c>
      <c r="FC63" s="546">
        <f t="shared" si="55"/>
        <v>0</v>
      </c>
      <c r="FD63" s="546">
        <f t="shared" si="56"/>
        <v>1011452.448</v>
      </c>
      <c r="FE63" s="546">
        <f t="shared" si="57"/>
        <v>887340.35</v>
      </c>
      <c r="FF63" s="546">
        <f t="shared" si="58"/>
        <v>887340.35</v>
      </c>
      <c r="FG63" s="546">
        <f t="shared" si="59"/>
        <v>124112.098</v>
      </c>
      <c r="FJ63" s="547" t="s">
        <v>368</v>
      </c>
      <c r="FK63" s="546">
        <v>1444969</v>
      </c>
      <c r="FL63" s="548">
        <f t="shared" si="60"/>
        <v>1444.9690000000001</v>
      </c>
      <c r="FN63" s="549" t="s">
        <v>551</v>
      </c>
      <c r="FO63" s="550">
        <v>18750049</v>
      </c>
      <c r="FP63" s="550">
        <v>15260093</v>
      </c>
      <c r="FQ63" s="550">
        <v>15260093</v>
      </c>
      <c r="FR63" s="550">
        <f t="shared" si="61"/>
        <v>18750.048999999999</v>
      </c>
      <c r="FS63" s="550">
        <f t="shared" si="62"/>
        <v>15260.093000000001</v>
      </c>
      <c r="FT63" s="550">
        <f t="shared" si="63"/>
        <v>15260.093000000001</v>
      </c>
    </row>
    <row r="64" spans="1:176" ht="15" customHeight="1" x14ac:dyDescent="0.25">
      <c r="A64" s="890" t="s">
        <v>431</v>
      </c>
      <c r="B64" s="544" t="s">
        <v>364</v>
      </c>
      <c r="C64" s="545">
        <v>2404066000</v>
      </c>
      <c r="D64" s="545">
        <v>2403266000</v>
      </c>
      <c r="E64" s="545">
        <v>1240896722</v>
      </c>
      <c r="F64" s="545">
        <v>1162369278</v>
      </c>
      <c r="G64" s="545">
        <v>48334179</v>
      </c>
      <c r="H64" s="546">
        <f t="shared" si="10"/>
        <v>2504203.1720000003</v>
      </c>
      <c r="I64" s="546">
        <f t="shared" si="11"/>
        <v>1293014.3843240002</v>
      </c>
      <c r="J64" s="546">
        <f t="shared" si="12"/>
        <v>1211188.787676</v>
      </c>
      <c r="K64" s="546">
        <f t="shared" si="13"/>
        <v>50364.214518000001</v>
      </c>
      <c r="O64" s="544" t="s">
        <v>565</v>
      </c>
      <c r="P64" s="545">
        <v>7423470</v>
      </c>
      <c r="Q64" s="546">
        <f t="shared" si="14"/>
        <v>7735.2557400000005</v>
      </c>
      <c r="S64" s="544" t="s">
        <v>364</v>
      </c>
      <c r="T64" s="545">
        <v>2535066000</v>
      </c>
      <c r="U64" s="545">
        <v>183817821</v>
      </c>
      <c r="V64" s="545">
        <v>1474704928</v>
      </c>
      <c r="W64" s="545">
        <v>1060361072</v>
      </c>
      <c r="X64" s="546">
        <f t="shared" si="15"/>
        <v>2641538.7719999999</v>
      </c>
      <c r="Y64" s="546">
        <f t="shared" si="16"/>
        <v>191538.169482</v>
      </c>
      <c r="Z64" s="546">
        <f t="shared" si="17"/>
        <v>1536642.5349760002</v>
      </c>
      <c r="AA64" s="546">
        <f t="shared" si="18"/>
        <v>1104896.2370239999</v>
      </c>
      <c r="AC64" s="544" t="s">
        <v>375</v>
      </c>
      <c r="AD64" s="545">
        <v>1084808</v>
      </c>
      <c r="AE64" s="546">
        <f t="shared" si="19"/>
        <v>1084.808</v>
      </c>
      <c r="AG64" s="544" t="s">
        <v>362</v>
      </c>
      <c r="AH64" s="545">
        <v>65177000</v>
      </c>
      <c r="AI64" s="545">
        <v>34503469</v>
      </c>
      <c r="AJ64" s="545">
        <v>34503469</v>
      </c>
      <c r="AK64" s="545">
        <v>30673531</v>
      </c>
      <c r="AL64" s="545">
        <f t="shared" si="20"/>
        <v>65177</v>
      </c>
      <c r="AM64" s="545">
        <f t="shared" si="21"/>
        <v>34503.468999999997</v>
      </c>
      <c r="AN64" s="545">
        <f t="shared" si="22"/>
        <v>34503.468999999997</v>
      </c>
      <c r="AO64" s="545">
        <f t="shared" si="23"/>
        <v>30673.530999999999</v>
      </c>
      <c r="AR64" s="544" t="s">
        <v>564</v>
      </c>
      <c r="AS64" s="545">
        <v>543491</v>
      </c>
      <c r="AT64" s="545">
        <f t="shared" si="24"/>
        <v>543.49099999999999</v>
      </c>
      <c r="AV64" s="544" t="s">
        <v>362</v>
      </c>
      <c r="AW64" s="545">
        <v>65177000</v>
      </c>
      <c r="AX64" s="545">
        <v>45501317</v>
      </c>
      <c r="AY64" s="545">
        <v>45501317</v>
      </c>
      <c r="AZ64" s="545">
        <v>19675683</v>
      </c>
      <c r="BA64" s="546">
        <f t="shared" si="25"/>
        <v>65177</v>
      </c>
      <c r="BB64" s="546">
        <f t="shared" si="26"/>
        <v>45501.317000000003</v>
      </c>
      <c r="BC64" s="546">
        <f t="shared" si="27"/>
        <v>45501.317000000003</v>
      </c>
      <c r="BD64" s="546">
        <f t="shared" si="28"/>
        <v>19675.683000000001</v>
      </c>
      <c r="BG64" s="544" t="s">
        <v>565</v>
      </c>
      <c r="BH64" s="545">
        <v>15873585</v>
      </c>
      <c r="BI64" s="545">
        <f t="shared" si="29"/>
        <v>15873.584999999999</v>
      </c>
      <c r="BK64" s="544" t="s">
        <v>362</v>
      </c>
      <c r="BL64" s="545">
        <v>65177000</v>
      </c>
      <c r="BM64" s="545">
        <v>54656600</v>
      </c>
      <c r="BN64" s="545">
        <v>54656600</v>
      </c>
      <c r="BO64" s="545">
        <v>10520400</v>
      </c>
      <c r="BP64" s="545">
        <f t="shared" si="30"/>
        <v>65177</v>
      </c>
      <c r="BQ64" s="545">
        <f t="shared" si="31"/>
        <v>54656.6</v>
      </c>
      <c r="BR64" s="545">
        <f t="shared" si="32"/>
        <v>54656.6</v>
      </c>
      <c r="BS64" s="545">
        <f t="shared" si="33"/>
        <v>10520.4</v>
      </c>
      <c r="BV64" s="544" t="s">
        <v>371</v>
      </c>
      <c r="BW64" s="545">
        <v>3491990</v>
      </c>
      <c r="BX64" s="546">
        <f t="shared" si="34"/>
        <v>3491.99</v>
      </c>
      <c r="BZ64" s="544" t="s">
        <v>362</v>
      </c>
      <c r="CA64" s="545">
        <v>78029453</v>
      </c>
      <c r="CB64" s="545">
        <v>67509053</v>
      </c>
      <c r="CC64" s="545">
        <v>67509053</v>
      </c>
      <c r="CD64" s="545">
        <v>10520400</v>
      </c>
      <c r="CE64" s="545">
        <f t="shared" si="35"/>
        <v>78029.452999999994</v>
      </c>
      <c r="CF64" s="545">
        <f t="shared" si="36"/>
        <v>67509.053</v>
      </c>
      <c r="CG64" s="545">
        <f t="shared" si="37"/>
        <v>67509.053</v>
      </c>
      <c r="CH64" s="545">
        <f t="shared" si="38"/>
        <v>10520.4</v>
      </c>
      <c r="CK64" s="547" t="s">
        <v>558</v>
      </c>
      <c r="CL64" s="546">
        <v>284414</v>
      </c>
      <c r="CM64" s="546">
        <f t="shared" si="39"/>
        <v>284.41399999999999</v>
      </c>
      <c r="CP64" s="547" t="s">
        <v>362</v>
      </c>
      <c r="CQ64" s="546">
        <v>78029453</v>
      </c>
      <c r="CR64" s="546">
        <v>73408945</v>
      </c>
      <c r="CS64" s="546">
        <v>73408945</v>
      </c>
      <c r="CT64" s="546">
        <v>4620508</v>
      </c>
      <c r="CU64" s="546">
        <f t="shared" si="64"/>
        <v>78029.452999999994</v>
      </c>
      <c r="CV64" s="546">
        <f t="shared" si="65"/>
        <v>73408.945000000007</v>
      </c>
      <c r="CW64" s="546">
        <f t="shared" si="66"/>
        <v>73408.945000000007</v>
      </c>
      <c r="CX64" s="546">
        <f t="shared" si="67"/>
        <v>4620.5079999999998</v>
      </c>
      <c r="CZ64" s="547" t="s">
        <v>557</v>
      </c>
      <c r="DA64" s="546">
        <v>90082</v>
      </c>
      <c r="DB64" s="546">
        <f t="shared" si="40"/>
        <v>90.081999999999994</v>
      </c>
      <c r="DE64" s="544" t="s">
        <v>362</v>
      </c>
      <c r="DF64" s="545">
        <v>78029453</v>
      </c>
      <c r="DG64" s="545">
        <v>77205733</v>
      </c>
      <c r="DH64" s="545">
        <v>77205733</v>
      </c>
      <c r="DI64" s="545">
        <v>823720</v>
      </c>
      <c r="DJ64" s="546">
        <f t="shared" si="41"/>
        <v>78029.452999999994</v>
      </c>
      <c r="DK64" s="546">
        <f t="shared" si="42"/>
        <v>77205.732999999993</v>
      </c>
      <c r="DL64" s="546">
        <f t="shared" si="43"/>
        <v>77205.732999999993</v>
      </c>
      <c r="DM64" s="546">
        <f t="shared" si="44"/>
        <v>823.72</v>
      </c>
      <c r="DP64" s="544" t="s">
        <v>377</v>
      </c>
      <c r="DQ64" s="545">
        <v>826853</v>
      </c>
      <c r="DR64" s="546">
        <f t="shared" si="45"/>
        <v>826.85299999999995</v>
      </c>
      <c r="DT64" s="544" t="s">
        <v>362</v>
      </c>
      <c r="DU64" s="545">
        <v>79729453</v>
      </c>
      <c r="DV64" s="545">
        <v>78644361</v>
      </c>
      <c r="DW64" s="545">
        <v>78644361</v>
      </c>
      <c r="DX64" s="545">
        <v>1085092</v>
      </c>
      <c r="DY64" s="546">
        <f t="shared" si="46"/>
        <v>79729.452999999994</v>
      </c>
      <c r="DZ64" s="546">
        <f t="shared" si="47"/>
        <v>78644.361000000004</v>
      </c>
      <c r="EA64" s="546">
        <f t="shared" si="48"/>
        <v>78644.361000000004</v>
      </c>
      <c r="EB64" s="546">
        <f t="shared" si="49"/>
        <v>1085.0920000000001</v>
      </c>
      <c r="EE64" s="547" t="s">
        <v>379</v>
      </c>
      <c r="EF64" s="546">
        <v>3293044</v>
      </c>
      <c r="EG64" s="548">
        <f t="shared" si="50"/>
        <v>3293.0439999999999</v>
      </c>
      <c r="EI64" s="547" t="s">
        <v>551</v>
      </c>
      <c r="EJ64" s="546">
        <v>15168552</v>
      </c>
      <c r="EK64" s="546">
        <v>14025809</v>
      </c>
      <c r="EL64" s="546">
        <v>14025809</v>
      </c>
      <c r="EM64" s="548">
        <f t="shared" si="51"/>
        <v>15168.552</v>
      </c>
      <c r="EN64" s="548">
        <f t="shared" si="52"/>
        <v>14025.808999999999</v>
      </c>
      <c r="EO64" s="548">
        <f t="shared" si="53"/>
        <v>14025.808999999999</v>
      </c>
      <c r="ER64" s="544" t="s">
        <v>560</v>
      </c>
      <c r="ES64" s="545">
        <v>3447870</v>
      </c>
      <c r="ET64" s="546">
        <f t="shared" si="54"/>
        <v>3447.87</v>
      </c>
      <c r="EW64" s="544" t="s">
        <v>551</v>
      </c>
      <c r="EX64" s="545">
        <v>0</v>
      </c>
      <c r="EY64" s="545">
        <v>15931552</v>
      </c>
      <c r="EZ64" s="545">
        <v>14946309</v>
      </c>
      <c r="FA64" s="545">
        <v>14946309</v>
      </c>
      <c r="FB64" s="545">
        <v>985243</v>
      </c>
      <c r="FC64" s="546">
        <f t="shared" si="55"/>
        <v>0</v>
      </c>
      <c r="FD64" s="546">
        <f t="shared" si="56"/>
        <v>15931.552</v>
      </c>
      <c r="FE64" s="546">
        <f t="shared" si="57"/>
        <v>14946.308999999999</v>
      </c>
      <c r="FF64" s="546">
        <f t="shared" si="58"/>
        <v>14946.308999999999</v>
      </c>
      <c r="FG64" s="546">
        <f t="shared" si="59"/>
        <v>985.24300000000005</v>
      </c>
      <c r="FJ64" s="547" t="s">
        <v>750</v>
      </c>
      <c r="FK64" s="546">
        <v>655571</v>
      </c>
      <c r="FL64" s="548">
        <f t="shared" si="60"/>
        <v>655.57100000000003</v>
      </c>
      <c r="FN64" s="549" t="s">
        <v>362</v>
      </c>
      <c r="FO64" s="550">
        <v>95805864</v>
      </c>
      <c r="FP64" s="550">
        <v>93922025</v>
      </c>
      <c r="FQ64" s="550">
        <v>93922025</v>
      </c>
      <c r="FR64" s="550">
        <f t="shared" si="61"/>
        <v>95805.864000000001</v>
      </c>
      <c r="FS64" s="550">
        <f t="shared" si="62"/>
        <v>93922.024999999994</v>
      </c>
      <c r="FT64" s="550">
        <f t="shared" si="63"/>
        <v>93922.024999999994</v>
      </c>
    </row>
    <row r="65" spans="1:176" ht="15" customHeight="1" x14ac:dyDescent="0.25">
      <c r="A65" s="890" t="s">
        <v>888</v>
      </c>
      <c r="B65" s="544" t="s">
        <v>365</v>
      </c>
      <c r="C65" s="545">
        <v>0</v>
      </c>
      <c r="D65" s="545">
        <v>20565000</v>
      </c>
      <c r="E65" s="545">
        <v>0</v>
      </c>
      <c r="F65" s="545">
        <v>20565000</v>
      </c>
      <c r="G65" s="545">
        <v>0</v>
      </c>
      <c r="H65" s="546">
        <f t="shared" si="10"/>
        <v>21428.73</v>
      </c>
      <c r="I65" s="546">
        <f t="shared" si="11"/>
        <v>0</v>
      </c>
      <c r="J65" s="546">
        <f t="shared" si="12"/>
        <v>21428.73</v>
      </c>
      <c r="K65" s="546">
        <f t="shared" si="13"/>
        <v>0</v>
      </c>
      <c r="O65" s="544" t="s">
        <v>566</v>
      </c>
      <c r="P65" s="545">
        <v>4462760</v>
      </c>
      <c r="Q65" s="546">
        <f t="shared" si="14"/>
        <v>4650.1959200000001</v>
      </c>
      <c r="S65" s="544" t="s">
        <v>365</v>
      </c>
      <c r="T65" s="545">
        <v>26882829</v>
      </c>
      <c r="U65" s="545">
        <v>6186334</v>
      </c>
      <c r="V65" s="545">
        <v>6186334</v>
      </c>
      <c r="W65" s="545">
        <v>20696495</v>
      </c>
      <c r="X65" s="546">
        <f t="shared" si="15"/>
        <v>28011.907818000003</v>
      </c>
      <c r="Y65" s="546">
        <f t="shared" si="16"/>
        <v>6446.1600280000002</v>
      </c>
      <c r="Z65" s="546">
        <f t="shared" si="17"/>
        <v>6446.1600280000002</v>
      </c>
      <c r="AA65" s="546">
        <f t="shared" si="18"/>
        <v>21565.747790000001</v>
      </c>
      <c r="AC65" s="544" t="s">
        <v>376</v>
      </c>
      <c r="AD65" s="545">
        <v>68350</v>
      </c>
      <c r="AE65" s="546">
        <f t="shared" si="19"/>
        <v>68.349999999999994</v>
      </c>
      <c r="AG65" s="544" t="s">
        <v>364</v>
      </c>
      <c r="AH65" s="545">
        <v>2535066000</v>
      </c>
      <c r="AI65" s="545">
        <v>519866611</v>
      </c>
      <c r="AJ65" s="545">
        <v>1696952500</v>
      </c>
      <c r="AK65" s="545">
        <v>838113500</v>
      </c>
      <c r="AL65" s="545">
        <f t="shared" si="20"/>
        <v>2535066</v>
      </c>
      <c r="AM65" s="545">
        <f t="shared" si="21"/>
        <v>519866.61099999998</v>
      </c>
      <c r="AN65" s="545">
        <f t="shared" si="22"/>
        <v>1696952.5</v>
      </c>
      <c r="AO65" s="545">
        <f t="shared" si="23"/>
        <v>838113.5</v>
      </c>
      <c r="AR65" s="544" t="s">
        <v>383</v>
      </c>
      <c r="AS65" s="545">
        <v>1079997</v>
      </c>
      <c r="AT65" s="545">
        <f t="shared" si="24"/>
        <v>1079.9970000000001</v>
      </c>
      <c r="AV65" s="544" t="s">
        <v>364</v>
      </c>
      <c r="AW65" s="545">
        <v>2535066000</v>
      </c>
      <c r="AX65" s="545">
        <v>792320908</v>
      </c>
      <c r="AY65" s="545">
        <v>1650663195</v>
      </c>
      <c r="AZ65" s="545">
        <v>884402805</v>
      </c>
      <c r="BA65" s="546">
        <f t="shared" si="25"/>
        <v>2535066</v>
      </c>
      <c r="BB65" s="546">
        <f t="shared" si="26"/>
        <v>792320.90800000005</v>
      </c>
      <c r="BC65" s="546">
        <f t="shared" si="27"/>
        <v>1650663.1950000001</v>
      </c>
      <c r="BD65" s="546">
        <f t="shared" si="28"/>
        <v>884402.80500000005</v>
      </c>
      <c r="BG65" s="544" t="s">
        <v>566</v>
      </c>
      <c r="BH65" s="545">
        <v>6477940</v>
      </c>
      <c r="BI65" s="545">
        <f t="shared" si="29"/>
        <v>6477.94</v>
      </c>
      <c r="BK65" s="544" t="s">
        <v>364</v>
      </c>
      <c r="BL65" s="545">
        <v>4624953000</v>
      </c>
      <c r="BM65" s="545">
        <v>1083696683</v>
      </c>
      <c r="BN65" s="545">
        <v>2587717806</v>
      </c>
      <c r="BO65" s="545">
        <v>2037235194</v>
      </c>
      <c r="BP65" s="545">
        <f t="shared" si="30"/>
        <v>4624953</v>
      </c>
      <c r="BQ65" s="545">
        <f t="shared" si="31"/>
        <v>1083696.683</v>
      </c>
      <c r="BR65" s="545">
        <f t="shared" si="32"/>
        <v>2587717.8059999999</v>
      </c>
      <c r="BS65" s="545">
        <f t="shared" si="33"/>
        <v>2037235.1939999999</v>
      </c>
      <c r="BV65" s="544" t="s">
        <v>373</v>
      </c>
      <c r="BW65" s="545">
        <v>7280921</v>
      </c>
      <c r="BX65" s="546">
        <f t="shared" si="34"/>
        <v>7280.9210000000003</v>
      </c>
      <c r="BZ65" s="544" t="s">
        <v>364</v>
      </c>
      <c r="CA65" s="545">
        <v>4625753000</v>
      </c>
      <c r="CB65" s="545">
        <v>1446273010</v>
      </c>
      <c r="CC65" s="545">
        <v>3153423312</v>
      </c>
      <c r="CD65" s="545">
        <v>1472329688</v>
      </c>
      <c r="CE65" s="545">
        <f t="shared" si="35"/>
        <v>4625753</v>
      </c>
      <c r="CF65" s="545">
        <f t="shared" si="36"/>
        <v>1446273.01</v>
      </c>
      <c r="CG65" s="545">
        <f t="shared" si="37"/>
        <v>3153423.3119999999</v>
      </c>
      <c r="CH65" s="545">
        <f t="shared" si="38"/>
        <v>1472329.6880000001</v>
      </c>
      <c r="CK65" s="547" t="s">
        <v>373</v>
      </c>
      <c r="CL65" s="546">
        <v>5341160</v>
      </c>
      <c r="CM65" s="546">
        <f t="shared" si="39"/>
        <v>5341.16</v>
      </c>
      <c r="CP65" s="547" t="s">
        <v>364</v>
      </c>
      <c r="CQ65" s="546">
        <v>4785753000</v>
      </c>
      <c r="CR65" s="546">
        <v>1966243881</v>
      </c>
      <c r="CS65" s="546">
        <v>3262998686</v>
      </c>
      <c r="CT65" s="546">
        <v>1522754314</v>
      </c>
      <c r="CU65" s="546">
        <f t="shared" si="64"/>
        <v>4785753</v>
      </c>
      <c r="CV65" s="546">
        <f t="shared" si="65"/>
        <v>1966243.8810000001</v>
      </c>
      <c r="CW65" s="546">
        <f t="shared" si="66"/>
        <v>3262998.6860000002</v>
      </c>
      <c r="CX65" s="546">
        <f t="shared" si="67"/>
        <v>1522754.314</v>
      </c>
      <c r="CZ65" s="547" t="s">
        <v>371</v>
      </c>
      <c r="DA65" s="546">
        <v>1099997</v>
      </c>
      <c r="DB65" s="546">
        <f t="shared" si="40"/>
        <v>1099.9970000000001</v>
      </c>
      <c r="DE65" s="544" t="s">
        <v>364</v>
      </c>
      <c r="DF65" s="545">
        <v>4785753000</v>
      </c>
      <c r="DG65" s="545">
        <v>2282500779</v>
      </c>
      <c r="DH65" s="545">
        <v>3484825427</v>
      </c>
      <c r="DI65" s="545">
        <v>1300927573</v>
      </c>
      <c r="DJ65" s="546">
        <f t="shared" si="41"/>
        <v>4785753</v>
      </c>
      <c r="DK65" s="546">
        <f t="shared" si="42"/>
        <v>2282500.7790000001</v>
      </c>
      <c r="DL65" s="546">
        <f t="shared" si="43"/>
        <v>3484825.4270000001</v>
      </c>
      <c r="DM65" s="546">
        <f t="shared" si="44"/>
        <v>1300927.5730000001</v>
      </c>
      <c r="DP65" s="544" t="s">
        <v>378</v>
      </c>
      <c r="DQ65" s="545">
        <v>5465156</v>
      </c>
      <c r="DR65" s="546">
        <f t="shared" si="45"/>
        <v>5465.1559999999999</v>
      </c>
      <c r="DT65" s="544" t="s">
        <v>364</v>
      </c>
      <c r="DU65" s="545">
        <v>4565753000</v>
      </c>
      <c r="DV65" s="545">
        <v>2696870291</v>
      </c>
      <c r="DW65" s="545">
        <v>3717871967</v>
      </c>
      <c r="DX65" s="545">
        <v>847881033</v>
      </c>
      <c r="DY65" s="546">
        <f t="shared" si="46"/>
        <v>4565753</v>
      </c>
      <c r="DZ65" s="546">
        <f t="shared" si="47"/>
        <v>2696870.2910000002</v>
      </c>
      <c r="EA65" s="546">
        <f t="shared" si="48"/>
        <v>3717871.9670000002</v>
      </c>
      <c r="EB65" s="546">
        <f t="shared" si="49"/>
        <v>847881.03300000005</v>
      </c>
      <c r="EE65" s="547" t="s">
        <v>380</v>
      </c>
      <c r="EF65" s="546">
        <v>474317</v>
      </c>
      <c r="EG65" s="548">
        <f t="shared" si="50"/>
        <v>474.31700000000001</v>
      </c>
      <c r="EI65" s="547" t="s">
        <v>362</v>
      </c>
      <c r="EJ65" s="546">
        <v>82229453</v>
      </c>
      <c r="EK65" s="546">
        <v>81994177</v>
      </c>
      <c r="EL65" s="546">
        <v>81994177</v>
      </c>
      <c r="EM65" s="548">
        <f t="shared" si="51"/>
        <v>82229.452999999994</v>
      </c>
      <c r="EN65" s="548">
        <f t="shared" si="52"/>
        <v>81994.176999999996</v>
      </c>
      <c r="EO65" s="548">
        <f t="shared" si="53"/>
        <v>81994.176999999996</v>
      </c>
      <c r="ER65" s="544" t="s">
        <v>561</v>
      </c>
      <c r="ES65" s="545">
        <v>299718</v>
      </c>
      <c r="ET65" s="546">
        <f t="shared" si="54"/>
        <v>299.71800000000002</v>
      </c>
      <c r="EW65" s="544" t="s">
        <v>362</v>
      </c>
      <c r="EX65" s="545">
        <v>0</v>
      </c>
      <c r="EY65" s="545">
        <v>86229453</v>
      </c>
      <c r="EZ65" s="545">
        <v>85120995</v>
      </c>
      <c r="FA65" s="545">
        <v>85120995</v>
      </c>
      <c r="FB65" s="545">
        <v>1108458</v>
      </c>
      <c r="FC65" s="546">
        <f t="shared" si="55"/>
        <v>0</v>
      </c>
      <c r="FD65" s="546">
        <f t="shared" si="56"/>
        <v>86229.452999999994</v>
      </c>
      <c r="FE65" s="546">
        <f t="shared" si="57"/>
        <v>85120.994999999995</v>
      </c>
      <c r="FF65" s="546">
        <f t="shared" si="58"/>
        <v>85120.994999999995</v>
      </c>
      <c r="FG65" s="546">
        <f t="shared" si="59"/>
        <v>1108.4580000000001</v>
      </c>
      <c r="FJ65" s="547" t="s">
        <v>370</v>
      </c>
      <c r="FK65" s="546">
        <v>12967454</v>
      </c>
      <c r="FL65" s="548">
        <f t="shared" si="60"/>
        <v>12967.454</v>
      </c>
      <c r="FN65" s="549" t="s">
        <v>990</v>
      </c>
      <c r="FO65" s="550">
        <v>425301</v>
      </c>
      <c r="FP65" s="550">
        <v>425301</v>
      </c>
      <c r="FQ65" s="550">
        <v>425301</v>
      </c>
      <c r="FR65" s="550">
        <f t="shared" si="61"/>
        <v>425.30099999999999</v>
      </c>
      <c r="FS65" s="550">
        <f t="shared" si="62"/>
        <v>425.30099999999999</v>
      </c>
      <c r="FT65" s="550">
        <f t="shared" si="63"/>
        <v>425.30099999999999</v>
      </c>
    </row>
    <row r="66" spans="1:176" ht="15" customHeight="1" x14ac:dyDescent="0.25">
      <c r="A66" s="890" t="s">
        <v>889</v>
      </c>
      <c r="B66" s="544" t="s">
        <v>552</v>
      </c>
      <c r="C66" s="545">
        <v>0</v>
      </c>
      <c r="D66" s="545">
        <v>17115000</v>
      </c>
      <c r="E66" s="545">
        <v>0</v>
      </c>
      <c r="F66" s="545">
        <v>17115000</v>
      </c>
      <c r="G66" s="545">
        <v>0</v>
      </c>
      <c r="H66" s="546">
        <f t="shared" si="10"/>
        <v>17833.830000000002</v>
      </c>
      <c r="I66" s="546">
        <f t="shared" si="11"/>
        <v>0</v>
      </c>
      <c r="J66" s="546">
        <f t="shared" si="12"/>
        <v>17833.830000000002</v>
      </c>
      <c r="K66" s="546">
        <f t="shared" si="13"/>
        <v>0</v>
      </c>
      <c r="O66" s="544" t="s">
        <v>567</v>
      </c>
      <c r="P66" s="545">
        <v>1501975</v>
      </c>
      <c r="Q66" s="546">
        <f t="shared" si="14"/>
        <v>1565.0579499999999</v>
      </c>
      <c r="S66" s="544" t="s">
        <v>552</v>
      </c>
      <c r="T66" s="545">
        <v>17864700</v>
      </c>
      <c r="U66" s="545">
        <v>618205</v>
      </c>
      <c r="V66" s="545">
        <v>618205</v>
      </c>
      <c r="W66" s="545">
        <v>17246495</v>
      </c>
      <c r="X66" s="546">
        <f t="shared" si="15"/>
        <v>18615.017400000001</v>
      </c>
      <c r="Y66" s="546">
        <f t="shared" si="16"/>
        <v>644.16961000000003</v>
      </c>
      <c r="Z66" s="546">
        <f t="shared" si="17"/>
        <v>644.16961000000003</v>
      </c>
      <c r="AA66" s="546">
        <f t="shared" si="18"/>
        <v>17970.84779</v>
      </c>
      <c r="AC66" s="544" t="s">
        <v>377</v>
      </c>
      <c r="AD66" s="545">
        <v>878265</v>
      </c>
      <c r="AE66" s="546">
        <f t="shared" si="19"/>
        <v>878.26499999999999</v>
      </c>
      <c r="AG66" s="544" t="s">
        <v>365</v>
      </c>
      <c r="AH66" s="545">
        <v>27311229</v>
      </c>
      <c r="AI66" s="545">
        <v>6614734</v>
      </c>
      <c r="AJ66" s="545">
        <v>6614734</v>
      </c>
      <c r="AK66" s="545">
        <v>20696495</v>
      </c>
      <c r="AL66" s="545">
        <f t="shared" si="20"/>
        <v>27311.228999999999</v>
      </c>
      <c r="AM66" s="545">
        <f t="shared" si="21"/>
        <v>6614.7340000000004</v>
      </c>
      <c r="AN66" s="545">
        <f t="shared" si="22"/>
        <v>6614.7340000000004</v>
      </c>
      <c r="AO66" s="545">
        <f t="shared" si="23"/>
        <v>20696.494999999999</v>
      </c>
      <c r="AR66" s="544" t="s">
        <v>384</v>
      </c>
      <c r="AS66" s="545">
        <v>782497</v>
      </c>
      <c r="AT66" s="545">
        <f t="shared" si="24"/>
        <v>782.49699999999996</v>
      </c>
      <c r="AV66" s="544" t="s">
        <v>365</v>
      </c>
      <c r="AW66" s="545">
        <v>27311529</v>
      </c>
      <c r="AX66" s="545">
        <v>6745612</v>
      </c>
      <c r="AY66" s="545">
        <v>13749004</v>
      </c>
      <c r="AZ66" s="545">
        <v>13562525</v>
      </c>
      <c r="BA66" s="546">
        <f t="shared" si="25"/>
        <v>27311.528999999999</v>
      </c>
      <c r="BB66" s="546">
        <f t="shared" si="26"/>
        <v>6745.6120000000001</v>
      </c>
      <c r="BC66" s="546">
        <f t="shared" si="27"/>
        <v>13749.004000000001</v>
      </c>
      <c r="BD66" s="546">
        <f t="shared" si="28"/>
        <v>13562.525</v>
      </c>
      <c r="BG66" s="544" t="s">
        <v>567</v>
      </c>
      <c r="BH66" s="545">
        <v>263762</v>
      </c>
      <c r="BI66" s="545">
        <f t="shared" si="29"/>
        <v>263.762</v>
      </c>
      <c r="BK66" s="544" t="s">
        <v>365</v>
      </c>
      <c r="BL66" s="545">
        <v>27311529</v>
      </c>
      <c r="BM66" s="545">
        <v>6745612</v>
      </c>
      <c r="BN66" s="545">
        <v>13749004</v>
      </c>
      <c r="BO66" s="545">
        <v>13562525</v>
      </c>
      <c r="BP66" s="545">
        <f t="shared" si="30"/>
        <v>27311.528999999999</v>
      </c>
      <c r="BQ66" s="545">
        <f t="shared" si="31"/>
        <v>6745.6120000000001</v>
      </c>
      <c r="BR66" s="545">
        <f t="shared" si="32"/>
        <v>13749.004000000001</v>
      </c>
      <c r="BS66" s="545">
        <f t="shared" si="33"/>
        <v>13562.525</v>
      </c>
      <c r="BV66" s="544" t="s">
        <v>374</v>
      </c>
      <c r="BW66" s="545">
        <v>750335</v>
      </c>
      <c r="BX66" s="546">
        <f t="shared" si="34"/>
        <v>750.33500000000004</v>
      </c>
      <c r="BZ66" s="544" t="s">
        <v>365</v>
      </c>
      <c r="CA66" s="545">
        <v>32648798</v>
      </c>
      <c r="CB66" s="545">
        <v>14519767</v>
      </c>
      <c r="CC66" s="545">
        <v>19502773</v>
      </c>
      <c r="CD66" s="545">
        <v>13146025</v>
      </c>
      <c r="CE66" s="545">
        <f t="shared" si="35"/>
        <v>32648.797999999999</v>
      </c>
      <c r="CF66" s="545">
        <f t="shared" si="36"/>
        <v>14519.767</v>
      </c>
      <c r="CG66" s="545">
        <f t="shared" si="37"/>
        <v>19502.773000000001</v>
      </c>
      <c r="CH66" s="545">
        <f t="shared" si="38"/>
        <v>13146.025</v>
      </c>
      <c r="CK66" s="547" t="s">
        <v>374</v>
      </c>
      <c r="CL66" s="546">
        <v>1064312</v>
      </c>
      <c r="CM66" s="546">
        <f t="shared" si="39"/>
        <v>1064.3119999999999</v>
      </c>
      <c r="CP66" s="547" t="s">
        <v>365</v>
      </c>
      <c r="CQ66" s="546">
        <v>32648798</v>
      </c>
      <c r="CR66" s="546">
        <v>19086273</v>
      </c>
      <c r="CS66" s="546">
        <v>19502773</v>
      </c>
      <c r="CT66" s="546">
        <v>13146025</v>
      </c>
      <c r="CU66" s="546">
        <f t="shared" si="64"/>
        <v>32648.797999999999</v>
      </c>
      <c r="CV66" s="546">
        <f t="shared" si="65"/>
        <v>19086.273000000001</v>
      </c>
      <c r="CW66" s="546">
        <f t="shared" si="66"/>
        <v>19502.773000000001</v>
      </c>
      <c r="CX66" s="546">
        <f t="shared" si="67"/>
        <v>13146.025</v>
      </c>
      <c r="CZ66" s="547" t="s">
        <v>372</v>
      </c>
      <c r="DA66" s="546">
        <v>67360</v>
      </c>
      <c r="DB66" s="546">
        <f t="shared" si="40"/>
        <v>67.36</v>
      </c>
      <c r="DE66" s="544" t="s">
        <v>365</v>
      </c>
      <c r="DF66" s="545">
        <v>32648798</v>
      </c>
      <c r="DG66" s="545">
        <v>19502773</v>
      </c>
      <c r="DH66" s="545">
        <v>19502773</v>
      </c>
      <c r="DI66" s="545">
        <v>13146025</v>
      </c>
      <c r="DJ66" s="546">
        <f t="shared" si="41"/>
        <v>32648.797999999999</v>
      </c>
      <c r="DK66" s="546">
        <f t="shared" si="42"/>
        <v>19502.773000000001</v>
      </c>
      <c r="DL66" s="546">
        <f t="shared" si="43"/>
        <v>19502.773000000001</v>
      </c>
      <c r="DM66" s="546">
        <f t="shared" si="44"/>
        <v>13146.025</v>
      </c>
      <c r="DP66" s="544" t="s">
        <v>379</v>
      </c>
      <c r="DQ66" s="545">
        <v>629961</v>
      </c>
      <c r="DR66" s="546">
        <f t="shared" si="45"/>
        <v>629.96100000000001</v>
      </c>
      <c r="DT66" s="544" t="s">
        <v>365</v>
      </c>
      <c r="DU66" s="545">
        <v>32604107</v>
      </c>
      <c r="DV66" s="545">
        <v>19502773</v>
      </c>
      <c r="DW66" s="545">
        <v>27051114</v>
      </c>
      <c r="DX66" s="545">
        <v>5552993</v>
      </c>
      <c r="DY66" s="546">
        <f t="shared" si="46"/>
        <v>32604.107</v>
      </c>
      <c r="DZ66" s="546">
        <f t="shared" si="47"/>
        <v>19502.773000000001</v>
      </c>
      <c r="EA66" s="546">
        <f t="shared" si="48"/>
        <v>27051.114000000001</v>
      </c>
      <c r="EB66" s="546">
        <f t="shared" si="49"/>
        <v>5552.9930000000004</v>
      </c>
      <c r="EE66" s="547" t="s">
        <v>559</v>
      </c>
      <c r="EF66" s="546">
        <v>3135806</v>
      </c>
      <c r="EG66" s="548">
        <f t="shared" si="50"/>
        <v>3135.806</v>
      </c>
      <c r="EI66" s="547" t="s">
        <v>364</v>
      </c>
      <c r="EJ66" s="546">
        <v>4565753000</v>
      </c>
      <c r="EK66" s="546">
        <v>3840706375</v>
      </c>
      <c r="EL66" s="546">
        <v>3018330278</v>
      </c>
      <c r="EM66" s="548">
        <f t="shared" si="51"/>
        <v>4565753</v>
      </c>
      <c r="EN66" s="548">
        <f t="shared" si="52"/>
        <v>3840706.375</v>
      </c>
      <c r="EO66" s="548">
        <f t="shared" si="53"/>
        <v>3018330.2779999999</v>
      </c>
      <c r="ER66" s="544" t="s">
        <v>563</v>
      </c>
      <c r="ES66" s="545">
        <v>4888884</v>
      </c>
      <c r="ET66" s="546">
        <f t="shared" si="54"/>
        <v>4888.884</v>
      </c>
      <c r="EW66" s="544" t="s">
        <v>364</v>
      </c>
      <c r="EX66" s="545">
        <v>4565753000</v>
      </c>
      <c r="EY66" s="545">
        <v>4565753000</v>
      </c>
      <c r="EZ66" s="545">
        <v>3568488910</v>
      </c>
      <c r="FA66" s="545">
        <v>4187232295</v>
      </c>
      <c r="FB66" s="545">
        <v>378520705</v>
      </c>
      <c r="FC66" s="546">
        <f t="shared" si="55"/>
        <v>4565753</v>
      </c>
      <c r="FD66" s="546">
        <f t="shared" si="56"/>
        <v>4565753</v>
      </c>
      <c r="FE66" s="546">
        <f t="shared" si="57"/>
        <v>3568488.91</v>
      </c>
      <c r="FF66" s="546">
        <f t="shared" si="58"/>
        <v>4187232.2949999999</v>
      </c>
      <c r="FG66" s="546">
        <f t="shared" si="59"/>
        <v>378520.70500000002</v>
      </c>
      <c r="FJ66" s="547" t="s">
        <v>555</v>
      </c>
      <c r="FK66" s="546">
        <v>296072</v>
      </c>
      <c r="FL66" s="548">
        <f t="shared" si="60"/>
        <v>296.072</v>
      </c>
      <c r="FN66" s="549" t="s">
        <v>364</v>
      </c>
      <c r="FO66" s="550">
        <v>4415851000</v>
      </c>
      <c r="FP66" s="550">
        <v>4176196087</v>
      </c>
      <c r="FQ66" s="550">
        <v>4204420515</v>
      </c>
      <c r="FR66" s="550">
        <f t="shared" si="61"/>
        <v>4415851</v>
      </c>
      <c r="FS66" s="550">
        <f t="shared" si="62"/>
        <v>4176196.0869999998</v>
      </c>
      <c r="FT66" s="550">
        <f t="shared" si="63"/>
        <v>4204420.5149999997</v>
      </c>
    </row>
    <row r="67" spans="1:176" ht="15" customHeight="1" x14ac:dyDescent="0.25">
      <c r="A67" s="890" t="s">
        <v>889</v>
      </c>
      <c r="B67" s="544" t="s">
        <v>366</v>
      </c>
      <c r="C67" s="545">
        <v>0</v>
      </c>
      <c r="D67" s="545">
        <v>3450000</v>
      </c>
      <c r="E67" s="545">
        <v>0</v>
      </c>
      <c r="F67" s="545">
        <v>3450000</v>
      </c>
      <c r="G67" s="545">
        <v>0</v>
      </c>
      <c r="H67" s="546">
        <f t="shared" si="10"/>
        <v>3594.9</v>
      </c>
      <c r="I67" s="546">
        <f t="shared" si="11"/>
        <v>0</v>
      </c>
      <c r="J67" s="546">
        <f t="shared" si="12"/>
        <v>3594.9</v>
      </c>
      <c r="K67" s="546">
        <f t="shared" si="13"/>
        <v>0</v>
      </c>
      <c r="O67" s="544" t="s">
        <v>388</v>
      </c>
      <c r="P67" s="545">
        <v>2320500</v>
      </c>
      <c r="Q67" s="546">
        <f t="shared" si="14"/>
        <v>2417.9610000000002</v>
      </c>
      <c r="S67" s="544" t="s">
        <v>366</v>
      </c>
      <c r="T67" s="545">
        <v>9018129</v>
      </c>
      <c r="U67" s="545">
        <v>5568129</v>
      </c>
      <c r="V67" s="545">
        <v>5568129</v>
      </c>
      <c r="W67" s="545">
        <v>3450000</v>
      </c>
      <c r="X67" s="546">
        <f t="shared" si="15"/>
        <v>9396.8904180000009</v>
      </c>
      <c r="Y67" s="546">
        <f t="shared" si="16"/>
        <v>5801.9904180000003</v>
      </c>
      <c r="Z67" s="546">
        <f t="shared" si="17"/>
        <v>5801.9904180000003</v>
      </c>
      <c r="AA67" s="546">
        <f t="shared" si="18"/>
        <v>3594.9</v>
      </c>
      <c r="AC67" s="544" t="s">
        <v>378</v>
      </c>
      <c r="AD67" s="545">
        <v>5465146</v>
      </c>
      <c r="AE67" s="546">
        <f t="shared" si="19"/>
        <v>5465.1459999999997</v>
      </c>
      <c r="AG67" s="544" t="s">
        <v>552</v>
      </c>
      <c r="AH67" s="545">
        <v>18293100</v>
      </c>
      <c r="AI67" s="545">
        <v>1046605</v>
      </c>
      <c r="AJ67" s="545">
        <v>1046605</v>
      </c>
      <c r="AK67" s="545">
        <v>17246495</v>
      </c>
      <c r="AL67" s="545">
        <f t="shared" si="20"/>
        <v>18293.099999999999</v>
      </c>
      <c r="AM67" s="545">
        <f t="shared" si="21"/>
        <v>1046.605</v>
      </c>
      <c r="AN67" s="545">
        <f t="shared" si="22"/>
        <v>1046.605</v>
      </c>
      <c r="AO67" s="545">
        <f t="shared" si="23"/>
        <v>17246.494999999999</v>
      </c>
      <c r="AR67" s="544" t="s">
        <v>385</v>
      </c>
      <c r="AS67" s="545">
        <v>297500</v>
      </c>
      <c r="AT67" s="545">
        <f t="shared" si="24"/>
        <v>297.5</v>
      </c>
      <c r="AV67" s="544" t="s">
        <v>552</v>
      </c>
      <c r="AW67" s="545">
        <v>18293400</v>
      </c>
      <c r="AX67" s="545">
        <v>1177483</v>
      </c>
      <c r="AY67" s="545">
        <v>6781075</v>
      </c>
      <c r="AZ67" s="545">
        <v>11512325</v>
      </c>
      <c r="BA67" s="546">
        <f t="shared" si="25"/>
        <v>18293.400000000001</v>
      </c>
      <c r="BB67" s="546">
        <f t="shared" si="26"/>
        <v>1177.4829999999999</v>
      </c>
      <c r="BC67" s="546">
        <f t="shared" si="27"/>
        <v>6781.0749999999998</v>
      </c>
      <c r="BD67" s="546">
        <f t="shared" si="28"/>
        <v>11512.325000000001</v>
      </c>
      <c r="BG67" s="544" t="s">
        <v>388</v>
      </c>
      <c r="BH67" s="545">
        <v>2342591</v>
      </c>
      <c r="BI67" s="545">
        <f t="shared" si="29"/>
        <v>2342.5909999999999</v>
      </c>
      <c r="BK67" s="544" t="s">
        <v>552</v>
      </c>
      <c r="BL67" s="545">
        <v>18293400</v>
      </c>
      <c r="BM67" s="545">
        <v>1177483</v>
      </c>
      <c r="BN67" s="545">
        <v>6781075</v>
      </c>
      <c r="BO67" s="545">
        <v>11512325</v>
      </c>
      <c r="BP67" s="545">
        <f t="shared" si="30"/>
        <v>18293.400000000001</v>
      </c>
      <c r="BQ67" s="545">
        <f t="shared" si="31"/>
        <v>1177.4829999999999</v>
      </c>
      <c r="BR67" s="545">
        <f t="shared" si="32"/>
        <v>6781.0749999999998</v>
      </c>
      <c r="BS67" s="545">
        <f t="shared" si="33"/>
        <v>11512.325000000001</v>
      </c>
      <c r="BV67" s="544" t="s">
        <v>375</v>
      </c>
      <c r="BW67" s="545">
        <v>1186840</v>
      </c>
      <c r="BX67" s="546">
        <f t="shared" si="34"/>
        <v>1186.8399999999999</v>
      </c>
      <c r="BZ67" s="544" t="s">
        <v>552</v>
      </c>
      <c r="CA67" s="545">
        <v>21533651</v>
      </c>
      <c r="CB67" s="545">
        <v>7551838</v>
      </c>
      <c r="CC67" s="545">
        <v>10437826</v>
      </c>
      <c r="CD67" s="545">
        <v>11095825</v>
      </c>
      <c r="CE67" s="545">
        <f t="shared" si="35"/>
        <v>21533.651000000002</v>
      </c>
      <c r="CF67" s="545">
        <f t="shared" si="36"/>
        <v>7551.8379999999997</v>
      </c>
      <c r="CG67" s="545">
        <f t="shared" si="37"/>
        <v>10437.825999999999</v>
      </c>
      <c r="CH67" s="545">
        <f t="shared" si="38"/>
        <v>11095.825000000001</v>
      </c>
      <c r="CK67" s="547" t="s">
        <v>375</v>
      </c>
      <c r="CL67" s="546">
        <v>1069238</v>
      </c>
      <c r="CM67" s="546">
        <f t="shared" si="39"/>
        <v>1069.2380000000001</v>
      </c>
      <c r="CP67" s="547" t="s">
        <v>552</v>
      </c>
      <c r="CQ67" s="546">
        <v>21533651</v>
      </c>
      <c r="CR67" s="546">
        <v>10021326</v>
      </c>
      <c r="CS67" s="546">
        <v>10437826</v>
      </c>
      <c r="CT67" s="546">
        <v>11095825</v>
      </c>
      <c r="CU67" s="546">
        <f t="shared" ref="CU67:CU98" si="68">+CQ67/$CV$1*$CW$1</f>
        <v>21533.651000000002</v>
      </c>
      <c r="CV67" s="546">
        <f t="shared" ref="CV67:CV98" si="69">+CR67/$CV$1*$CW$1</f>
        <v>10021.325999999999</v>
      </c>
      <c r="CW67" s="546">
        <f t="shared" ref="CW67:CW98" si="70">+CS67/$CV$1*$CW$1</f>
        <v>10437.825999999999</v>
      </c>
      <c r="CX67" s="546">
        <f t="shared" ref="CX67:CX98" si="71">+CT67/$CV$1*$CW$1</f>
        <v>11095.825000000001</v>
      </c>
      <c r="CZ67" s="547" t="s">
        <v>373</v>
      </c>
      <c r="DA67" s="546">
        <v>5636356</v>
      </c>
      <c r="DB67" s="546">
        <f t="shared" si="40"/>
        <v>5636.3559999999998</v>
      </c>
      <c r="DE67" s="544" t="s">
        <v>552</v>
      </c>
      <c r="DF67" s="545">
        <v>21533651</v>
      </c>
      <c r="DG67" s="545">
        <v>10437826</v>
      </c>
      <c r="DH67" s="545">
        <v>10437826</v>
      </c>
      <c r="DI67" s="545">
        <v>11095825</v>
      </c>
      <c r="DJ67" s="546">
        <f t="shared" si="41"/>
        <v>21533.651000000002</v>
      </c>
      <c r="DK67" s="546">
        <f t="shared" si="42"/>
        <v>10437.825999999999</v>
      </c>
      <c r="DL67" s="546">
        <f t="shared" si="43"/>
        <v>10437.825999999999</v>
      </c>
      <c r="DM67" s="546">
        <f t="shared" si="44"/>
        <v>11095.825000000001</v>
      </c>
      <c r="DP67" s="544" t="s">
        <v>380</v>
      </c>
      <c r="DQ67" s="545">
        <v>474317</v>
      </c>
      <c r="DR67" s="546">
        <f t="shared" si="45"/>
        <v>474.31700000000001</v>
      </c>
      <c r="DT67" s="544" t="s">
        <v>552</v>
      </c>
      <c r="DU67" s="545">
        <v>21488960</v>
      </c>
      <c r="DV67" s="545">
        <v>10437826</v>
      </c>
      <c r="DW67" s="545">
        <v>17986167</v>
      </c>
      <c r="DX67" s="545">
        <v>3502793</v>
      </c>
      <c r="DY67" s="546">
        <f t="shared" si="46"/>
        <v>21488.959999999999</v>
      </c>
      <c r="DZ67" s="546">
        <f t="shared" si="47"/>
        <v>10437.825999999999</v>
      </c>
      <c r="EA67" s="546">
        <f t="shared" si="48"/>
        <v>17986.167000000001</v>
      </c>
      <c r="EB67" s="546">
        <f t="shared" si="49"/>
        <v>3502.7930000000001</v>
      </c>
      <c r="EE67" s="547" t="s">
        <v>381</v>
      </c>
      <c r="EF67" s="546">
        <v>20973006</v>
      </c>
      <c r="EG67" s="548">
        <f t="shared" si="50"/>
        <v>20973.006000000001</v>
      </c>
      <c r="EI67" s="547" t="s">
        <v>365</v>
      </c>
      <c r="EJ67" s="546">
        <v>32604107</v>
      </c>
      <c r="EK67" s="546">
        <v>28101623</v>
      </c>
      <c r="EL67" s="546">
        <v>27051114</v>
      </c>
      <c r="EM67" s="548">
        <f t="shared" si="51"/>
        <v>32604.107</v>
      </c>
      <c r="EN67" s="548">
        <f t="shared" si="52"/>
        <v>28101.623</v>
      </c>
      <c r="EO67" s="548">
        <f t="shared" si="53"/>
        <v>27051.114000000001</v>
      </c>
      <c r="ER67" s="544" t="s">
        <v>564</v>
      </c>
      <c r="ES67" s="545">
        <v>11276471</v>
      </c>
      <c r="ET67" s="546">
        <f t="shared" si="54"/>
        <v>11276.471</v>
      </c>
      <c r="EW67" s="544" t="s">
        <v>365</v>
      </c>
      <c r="EX67" s="545">
        <v>0</v>
      </c>
      <c r="EY67" s="545">
        <v>28101623</v>
      </c>
      <c r="EZ67" s="545">
        <v>28101623</v>
      </c>
      <c r="FA67" s="545">
        <v>28101623</v>
      </c>
      <c r="FB67" s="545">
        <v>0</v>
      </c>
      <c r="FC67" s="546">
        <f t="shared" si="55"/>
        <v>0</v>
      </c>
      <c r="FD67" s="546">
        <f t="shared" si="56"/>
        <v>28101.623</v>
      </c>
      <c r="FE67" s="546">
        <f t="shared" si="57"/>
        <v>28101.623</v>
      </c>
      <c r="FF67" s="546">
        <f t="shared" si="58"/>
        <v>28101.623</v>
      </c>
      <c r="FG67" s="546">
        <f t="shared" si="59"/>
        <v>0</v>
      </c>
      <c r="FJ67" s="547" t="s">
        <v>556</v>
      </c>
      <c r="FK67" s="546">
        <v>2663397</v>
      </c>
      <c r="FL67" s="548">
        <f t="shared" si="60"/>
        <v>2663.3969999999999</v>
      </c>
      <c r="FN67" s="549" t="s">
        <v>365</v>
      </c>
      <c r="FO67" s="550">
        <v>28101623</v>
      </c>
      <c r="FP67" s="550">
        <v>28101623</v>
      </c>
      <c r="FQ67" s="550">
        <v>28101623</v>
      </c>
      <c r="FR67" s="550">
        <f t="shared" si="61"/>
        <v>28101.623</v>
      </c>
      <c r="FS67" s="550">
        <f t="shared" si="62"/>
        <v>28101.623</v>
      </c>
      <c r="FT67" s="550">
        <f t="shared" si="63"/>
        <v>28101.623</v>
      </c>
    </row>
    <row r="68" spans="1:176" ht="15" customHeight="1" x14ac:dyDescent="0.25">
      <c r="A68" s="890" t="s">
        <v>888</v>
      </c>
      <c r="B68" s="544" t="s">
        <v>479</v>
      </c>
      <c r="C68" s="545">
        <v>0</v>
      </c>
      <c r="D68" s="545">
        <v>30000000</v>
      </c>
      <c r="E68" s="545">
        <v>0</v>
      </c>
      <c r="F68" s="545">
        <v>30000000</v>
      </c>
      <c r="G68" s="545">
        <v>0</v>
      </c>
      <c r="H68" s="546">
        <f t="shared" ref="H68:H131" si="72">+D68/$I$1*$J$1</f>
        <v>31260</v>
      </c>
      <c r="I68" s="546">
        <f t="shared" ref="I68:I131" si="73">+E68/$I$1*$J$1</f>
        <v>0</v>
      </c>
      <c r="J68" s="546">
        <f t="shared" ref="J68:J131" si="74">+F68/$I$1*$J$1</f>
        <v>31260</v>
      </c>
      <c r="K68" s="546">
        <f t="shared" ref="K68:K131" si="75">+G68/$I$1*$J$1</f>
        <v>0</v>
      </c>
      <c r="O68" s="544" t="s">
        <v>389</v>
      </c>
      <c r="P68" s="545">
        <v>55357715</v>
      </c>
      <c r="Q68" s="546">
        <f t="shared" ref="Q68:Q88" si="76">+P68/$P$1*$Q$1</f>
        <v>57682.739029999997</v>
      </c>
      <c r="S68" s="544" t="s">
        <v>479</v>
      </c>
      <c r="T68" s="545">
        <v>30000000</v>
      </c>
      <c r="U68" s="545">
        <v>0</v>
      </c>
      <c r="V68" s="545">
        <v>0</v>
      </c>
      <c r="W68" s="545">
        <v>30000000</v>
      </c>
      <c r="X68" s="546">
        <f t="shared" ref="X68:X131" si="77">+T68/$Z$1*$AA$1</f>
        <v>31260</v>
      </c>
      <c r="Y68" s="546">
        <f t="shared" ref="Y68:Y131" si="78">+U68/$Z$1*$AA$1</f>
        <v>0</v>
      </c>
      <c r="Z68" s="546">
        <f t="shared" ref="Z68:Z131" si="79">+V68/$Z$1*$AA$1</f>
        <v>0</v>
      </c>
      <c r="AA68" s="546">
        <f t="shared" ref="AA68:AA131" si="80">+W68/$Z$1*$AA$1</f>
        <v>31260</v>
      </c>
      <c r="AC68" s="544" t="s">
        <v>380</v>
      </c>
      <c r="AD68" s="545">
        <v>474317</v>
      </c>
      <c r="AE68" s="546">
        <f t="shared" ref="AE68:AE109" si="81">+AD68/$AD$1*$AE$1</f>
        <v>474.31700000000001</v>
      </c>
      <c r="AG68" s="544" t="s">
        <v>366</v>
      </c>
      <c r="AH68" s="545">
        <v>9018129</v>
      </c>
      <c r="AI68" s="545">
        <v>5568129</v>
      </c>
      <c r="AJ68" s="545">
        <v>5568129</v>
      </c>
      <c r="AK68" s="545">
        <v>3450000</v>
      </c>
      <c r="AL68" s="545">
        <f t="shared" ref="AL68:AL131" si="82">+AH68/$AN$1*$AO$1</f>
        <v>9018.1290000000008</v>
      </c>
      <c r="AM68" s="545">
        <f t="shared" ref="AM68:AM131" si="83">+AI68/$AN$1*$AO$1</f>
        <v>5568.1289999999999</v>
      </c>
      <c r="AN68" s="545">
        <f t="shared" ref="AN68:AN131" si="84">+AJ68/$AN$1*$AO$1</f>
        <v>5568.1289999999999</v>
      </c>
      <c r="AO68" s="545">
        <f t="shared" ref="AO68:AO131" si="85">+AK68/$AN$1*$AO$1</f>
        <v>3450</v>
      </c>
      <c r="AR68" s="544" t="s">
        <v>386</v>
      </c>
      <c r="AS68" s="545">
        <v>49037086</v>
      </c>
      <c r="AT68" s="545">
        <f t="shared" ref="AT68:AT93" si="86">+AS68/$AS$1*$AT$1</f>
        <v>49037.086000000003</v>
      </c>
      <c r="AV68" s="544" t="s">
        <v>366</v>
      </c>
      <c r="AW68" s="545">
        <v>9018129</v>
      </c>
      <c r="AX68" s="545">
        <v>5568129</v>
      </c>
      <c r="AY68" s="545">
        <v>6967929</v>
      </c>
      <c r="AZ68" s="545">
        <v>2050200</v>
      </c>
      <c r="BA68" s="546">
        <f t="shared" ref="BA68:BA131" si="87">+AW68/$BC$1*$BD$1</f>
        <v>9018.1290000000008</v>
      </c>
      <c r="BB68" s="546">
        <f t="shared" ref="BB68:BB131" si="88">+AX68/$BC$1*$BD$1</f>
        <v>5568.1289999999999</v>
      </c>
      <c r="BC68" s="546">
        <f t="shared" ref="BC68:BC131" si="89">+AY68/$BC$1*$BD$1</f>
        <v>6967.9290000000001</v>
      </c>
      <c r="BD68" s="546">
        <f t="shared" ref="BD68:BD131" si="90">+AZ68/$BC$1*$BD$1</f>
        <v>2050.1999999999998</v>
      </c>
      <c r="BG68" s="544" t="s">
        <v>389</v>
      </c>
      <c r="BH68" s="545">
        <v>125817936</v>
      </c>
      <c r="BI68" s="545">
        <f t="shared" ref="BI68:BI83" si="91">+BH68/$BR$1*$BS$1</f>
        <v>125817.936</v>
      </c>
      <c r="BK68" s="544" t="s">
        <v>366</v>
      </c>
      <c r="BL68" s="545">
        <v>9018129</v>
      </c>
      <c r="BM68" s="545">
        <v>5568129</v>
      </c>
      <c r="BN68" s="545">
        <v>6967929</v>
      </c>
      <c r="BO68" s="545">
        <v>2050200</v>
      </c>
      <c r="BP68" s="545">
        <f t="shared" ref="BP68:BP131" si="92">+BL68/$BR$1*$BS$1</f>
        <v>9018.1290000000008</v>
      </c>
      <c r="BQ68" s="545">
        <f t="shared" ref="BQ68:BQ131" si="93">+BM68/$BR$1*$BS$1</f>
        <v>5568.1289999999999</v>
      </c>
      <c r="BR68" s="545">
        <f t="shared" ref="BR68:BR131" si="94">+BN68/$BR$1*$BS$1</f>
        <v>6967.9290000000001</v>
      </c>
      <c r="BS68" s="545">
        <f t="shared" ref="BS68:BS131" si="95">+BO68/$BR$1*$BS$1</f>
        <v>2050.1999999999998</v>
      </c>
      <c r="BV68" s="544" t="s">
        <v>376</v>
      </c>
      <c r="BW68" s="545">
        <v>275500</v>
      </c>
      <c r="BX68" s="546">
        <f t="shared" ref="BX68:BX109" si="96">+BW68/$BW$1*$BX$1</f>
        <v>275.5</v>
      </c>
      <c r="BZ68" s="544" t="s">
        <v>366</v>
      </c>
      <c r="CA68" s="545">
        <v>11115147</v>
      </c>
      <c r="CB68" s="545">
        <v>6967929</v>
      </c>
      <c r="CC68" s="545">
        <v>9064947</v>
      </c>
      <c r="CD68" s="545">
        <v>2050200</v>
      </c>
      <c r="CE68" s="545">
        <f t="shared" ref="CE68:CE131" si="97">+CA68/$CG$1*$CH$1</f>
        <v>11115.147000000001</v>
      </c>
      <c r="CF68" s="545">
        <f t="shared" ref="CF68:CF131" si="98">+CB68/$CG$1*$CH$1</f>
        <v>6967.9290000000001</v>
      </c>
      <c r="CG68" s="545">
        <f t="shared" ref="CG68:CG131" si="99">+CC68/$CG$1*$CH$1</f>
        <v>9064.9470000000001</v>
      </c>
      <c r="CH68" s="545">
        <f t="shared" ref="CH68:CH131" si="100">+CD68/$CG$1*$CH$1</f>
        <v>2050.1999999999998</v>
      </c>
      <c r="CK68" s="547" t="s">
        <v>376</v>
      </c>
      <c r="CL68" s="546">
        <v>294490</v>
      </c>
      <c r="CM68" s="546">
        <f t="shared" ref="CM68:CM119" si="101">+CL68/$CM$1*$CN$1</f>
        <v>294.49</v>
      </c>
      <c r="CP68" s="547" t="s">
        <v>366</v>
      </c>
      <c r="CQ68" s="546">
        <v>11115147</v>
      </c>
      <c r="CR68" s="546">
        <v>9064947</v>
      </c>
      <c r="CS68" s="546">
        <v>9064947</v>
      </c>
      <c r="CT68" s="546">
        <v>2050200</v>
      </c>
      <c r="CU68" s="546">
        <f t="shared" si="68"/>
        <v>11115.147000000001</v>
      </c>
      <c r="CV68" s="546">
        <f t="shared" si="69"/>
        <v>9064.9470000000001</v>
      </c>
      <c r="CW68" s="546">
        <f t="shared" si="70"/>
        <v>9064.9470000000001</v>
      </c>
      <c r="CX68" s="546">
        <f t="shared" si="71"/>
        <v>2050.1999999999998</v>
      </c>
      <c r="CZ68" s="547" t="s">
        <v>374</v>
      </c>
      <c r="DA68" s="546">
        <v>2084600</v>
      </c>
      <c r="DB68" s="546">
        <f t="shared" ref="DB68:DB110" si="102">+DA68/$DB$1*$DC$1</f>
        <v>2084.6</v>
      </c>
      <c r="DE68" s="544" t="s">
        <v>366</v>
      </c>
      <c r="DF68" s="545">
        <v>11115147</v>
      </c>
      <c r="DG68" s="545">
        <v>9064947</v>
      </c>
      <c r="DH68" s="545">
        <v>9064947</v>
      </c>
      <c r="DI68" s="545">
        <v>2050200</v>
      </c>
      <c r="DJ68" s="546">
        <f t="shared" ref="DJ68:DJ131" si="103">+DF68/$DL$1*$DM$1</f>
        <v>11115.147000000001</v>
      </c>
      <c r="DK68" s="546">
        <f t="shared" ref="DK68:DK131" si="104">+DG68/$DL$1*$DM$1</f>
        <v>9064.9470000000001</v>
      </c>
      <c r="DL68" s="546">
        <f t="shared" ref="DL68:DL131" si="105">+DH68/$DL$1*$DM$1</f>
        <v>9064.9470000000001</v>
      </c>
      <c r="DM68" s="546">
        <f t="shared" ref="DM68:DM131" si="106">+DI68/$DL$1*$DM$1</f>
        <v>2050.1999999999998</v>
      </c>
      <c r="DP68" s="544" t="s">
        <v>559</v>
      </c>
      <c r="DQ68" s="545">
        <v>10466518</v>
      </c>
      <c r="DR68" s="546">
        <f t="shared" ref="DR68:DR103" si="107">+DQ68/$DQ$1*$DR$1</f>
        <v>10466.518</v>
      </c>
      <c r="DT68" s="544" t="s">
        <v>366</v>
      </c>
      <c r="DU68" s="545">
        <v>11115147</v>
      </c>
      <c r="DV68" s="545">
        <v>9064947</v>
      </c>
      <c r="DW68" s="545">
        <v>9064947</v>
      </c>
      <c r="DX68" s="545">
        <v>2050200</v>
      </c>
      <c r="DY68" s="546">
        <f t="shared" ref="DY68:DY131" si="108">+DU68/$EA$1*$EB$1</f>
        <v>11115.147000000001</v>
      </c>
      <c r="DZ68" s="546">
        <f t="shared" ref="DZ68:DZ131" si="109">+DV68/$EA$1*$EB$1</f>
        <v>9064.9470000000001</v>
      </c>
      <c r="EA68" s="546">
        <f t="shared" ref="EA68:EA131" si="110">+DW68/$EA$1*$EB$1</f>
        <v>9064.9470000000001</v>
      </c>
      <c r="EB68" s="546">
        <f t="shared" ref="EB68:EB131" si="111">+DX68/$EA$1*$EB$1</f>
        <v>2050.1999999999998</v>
      </c>
      <c r="EE68" s="547" t="s">
        <v>560</v>
      </c>
      <c r="EF68" s="546">
        <v>17663477</v>
      </c>
      <c r="EG68" s="548">
        <f t="shared" ref="EG68:EG103" si="112">EF68/$EF$1*$EG$1</f>
        <v>17663.476999999999</v>
      </c>
      <c r="EI68" s="547" t="s">
        <v>552</v>
      </c>
      <c r="EJ68" s="546">
        <v>21488960</v>
      </c>
      <c r="EK68" s="546">
        <v>19036676</v>
      </c>
      <c r="EL68" s="546">
        <v>17986167</v>
      </c>
      <c r="EM68" s="548">
        <f t="shared" ref="EM68:EM131" si="113">EJ68/$EN$1*$EO$1</f>
        <v>21488.959999999999</v>
      </c>
      <c r="EN68" s="548">
        <f t="shared" ref="EN68:EN131" si="114">EK68/$EN$1*$EO$1</f>
        <v>19036.675999999999</v>
      </c>
      <c r="EO68" s="548">
        <f t="shared" ref="EO68:EO131" si="115">EL68/$EN$1*$EO$1</f>
        <v>17986.167000000001</v>
      </c>
      <c r="ER68" s="544" t="s">
        <v>383</v>
      </c>
      <c r="ES68" s="545">
        <v>486244</v>
      </c>
      <c r="ET68" s="546">
        <f t="shared" ref="ET68:ET104" si="116">+ES68/$ET$1*$EU$1</f>
        <v>486.24400000000003</v>
      </c>
      <c r="EW68" s="544" t="s">
        <v>552</v>
      </c>
      <c r="EX68" s="545">
        <v>0</v>
      </c>
      <c r="EY68" s="545">
        <v>19036676</v>
      </c>
      <c r="EZ68" s="545">
        <v>19036676</v>
      </c>
      <c r="FA68" s="545">
        <v>19036676</v>
      </c>
      <c r="FB68" s="545">
        <v>0</v>
      </c>
      <c r="FC68" s="546">
        <f t="shared" ref="FC68:FC75" si="117">+EX68/$FF$1*$FG$1</f>
        <v>0</v>
      </c>
      <c r="FD68" s="546">
        <f t="shared" ref="FD68:FD75" si="118">+EY68/$FF$1*$FG$1</f>
        <v>19036.675999999999</v>
      </c>
      <c r="FE68" s="546">
        <f t="shared" ref="FE68:FE75" si="119">+EZ68/$FF$1*$FG$1</f>
        <v>19036.675999999999</v>
      </c>
      <c r="FF68" s="546">
        <f t="shared" ref="FF68:FF75" si="120">+FA68/$FF$1*$FG$1</f>
        <v>19036.675999999999</v>
      </c>
      <c r="FG68" s="546">
        <f t="shared" ref="FG68:FG75" si="121">+FB68/$FF$1*$FG$1</f>
        <v>0</v>
      </c>
      <c r="FJ68" s="547" t="s">
        <v>557</v>
      </c>
      <c r="FK68" s="546">
        <v>497408</v>
      </c>
      <c r="FL68" s="548">
        <f t="shared" ref="FL68:FL126" si="122">+FK68/$FK$1*$FL$1</f>
        <v>497.40800000000002</v>
      </c>
      <c r="FN68" s="549" t="s">
        <v>552</v>
      </c>
      <c r="FO68" s="550">
        <v>19036676</v>
      </c>
      <c r="FP68" s="550">
        <v>19036676</v>
      </c>
      <c r="FQ68" s="550">
        <v>19036676</v>
      </c>
      <c r="FR68" s="550">
        <f t="shared" ref="FR68:FR131" si="123">+FO68/$FR$1*$FS$1</f>
        <v>19036.675999999999</v>
      </c>
      <c r="FS68" s="550">
        <f t="shared" ref="FS68:FS131" si="124">+FP68/$FR$1*$FS$1</f>
        <v>19036.675999999999</v>
      </c>
      <c r="FT68" s="550">
        <f t="shared" ref="FT68:FT131" si="125">+FQ68/$FR$1*$FS$1</f>
        <v>19036.675999999999</v>
      </c>
    </row>
    <row r="69" spans="1:176" ht="15" customHeight="1" x14ac:dyDescent="0.25">
      <c r="A69" s="890" t="s">
        <v>889</v>
      </c>
      <c r="B69" s="544" t="s">
        <v>480</v>
      </c>
      <c r="C69" s="545">
        <v>0</v>
      </c>
      <c r="D69" s="545">
        <v>30000000</v>
      </c>
      <c r="E69" s="545">
        <v>0</v>
      </c>
      <c r="F69" s="545">
        <v>30000000</v>
      </c>
      <c r="G69" s="545">
        <v>0</v>
      </c>
      <c r="H69" s="546">
        <f t="shared" si="72"/>
        <v>31260</v>
      </c>
      <c r="I69" s="546">
        <f t="shared" si="73"/>
        <v>0</v>
      </c>
      <c r="J69" s="546">
        <f t="shared" si="74"/>
        <v>31260</v>
      </c>
      <c r="K69" s="546">
        <f t="shared" si="75"/>
        <v>0</v>
      </c>
      <c r="O69" s="544" t="s">
        <v>390</v>
      </c>
      <c r="P69" s="545">
        <v>48051647</v>
      </c>
      <c r="Q69" s="546">
        <f t="shared" si="76"/>
        <v>50069.816174</v>
      </c>
      <c r="S69" s="544" t="s">
        <v>480</v>
      </c>
      <c r="T69" s="545">
        <v>30000000</v>
      </c>
      <c r="U69" s="545">
        <v>0</v>
      </c>
      <c r="V69" s="545">
        <v>0</v>
      </c>
      <c r="W69" s="545">
        <v>30000000</v>
      </c>
      <c r="X69" s="546">
        <f t="shared" si="77"/>
        <v>31260</v>
      </c>
      <c r="Y69" s="546">
        <f t="shared" si="78"/>
        <v>0</v>
      </c>
      <c r="Z69" s="546">
        <f t="shared" si="79"/>
        <v>0</v>
      </c>
      <c r="AA69" s="546">
        <f t="shared" si="80"/>
        <v>31260</v>
      </c>
      <c r="AC69" s="544" t="s">
        <v>559</v>
      </c>
      <c r="AD69" s="545">
        <v>6271612</v>
      </c>
      <c r="AE69" s="546">
        <f t="shared" si="81"/>
        <v>6271.6120000000001</v>
      </c>
      <c r="AG69" s="544" t="s">
        <v>479</v>
      </c>
      <c r="AH69" s="545">
        <v>24247918</v>
      </c>
      <c r="AI69" s="545">
        <v>0</v>
      </c>
      <c r="AJ69" s="545">
        <v>0</v>
      </c>
      <c r="AK69" s="545">
        <v>24247918</v>
      </c>
      <c r="AL69" s="545">
        <f t="shared" si="82"/>
        <v>24247.918000000001</v>
      </c>
      <c r="AM69" s="545">
        <f t="shared" si="83"/>
        <v>0</v>
      </c>
      <c r="AN69" s="545">
        <f t="shared" si="84"/>
        <v>0</v>
      </c>
      <c r="AO69" s="545">
        <f t="shared" si="85"/>
        <v>24247.918000000001</v>
      </c>
      <c r="AR69" s="544" t="s">
        <v>387</v>
      </c>
      <c r="AS69" s="545">
        <v>5387052</v>
      </c>
      <c r="AT69" s="545">
        <f t="shared" si="86"/>
        <v>5387.0519999999997</v>
      </c>
      <c r="AV69" s="544" t="s">
        <v>479</v>
      </c>
      <c r="AW69" s="545">
        <v>0</v>
      </c>
      <c r="AX69" s="545">
        <v>0</v>
      </c>
      <c r="AY69" s="545">
        <v>0</v>
      </c>
      <c r="AZ69" s="545">
        <v>0</v>
      </c>
      <c r="BA69" s="546">
        <f t="shared" si="87"/>
        <v>0</v>
      </c>
      <c r="BB69" s="546">
        <f t="shared" si="88"/>
        <v>0</v>
      </c>
      <c r="BC69" s="546">
        <f t="shared" si="89"/>
        <v>0</v>
      </c>
      <c r="BD69" s="546">
        <f t="shared" si="90"/>
        <v>0</v>
      </c>
      <c r="BG69" s="544" t="s">
        <v>390</v>
      </c>
      <c r="BH69" s="545">
        <v>110517238</v>
      </c>
      <c r="BI69" s="545">
        <f t="shared" si="91"/>
        <v>110517.238</v>
      </c>
      <c r="BK69" s="544" t="s">
        <v>479</v>
      </c>
      <c r="BL69" s="545">
        <v>0</v>
      </c>
      <c r="BM69" s="545">
        <v>0</v>
      </c>
      <c r="BN69" s="545">
        <v>0</v>
      </c>
      <c r="BO69" s="545">
        <v>0</v>
      </c>
      <c r="BP69" s="545">
        <f t="shared" si="92"/>
        <v>0</v>
      </c>
      <c r="BQ69" s="545">
        <f t="shared" si="93"/>
        <v>0</v>
      </c>
      <c r="BR69" s="545">
        <f t="shared" si="94"/>
        <v>0</v>
      </c>
      <c r="BS69" s="545">
        <f t="shared" si="95"/>
        <v>0</v>
      </c>
      <c r="BV69" s="544" t="s">
        <v>377</v>
      </c>
      <c r="BW69" s="545">
        <v>1458123</v>
      </c>
      <c r="BX69" s="546">
        <f t="shared" si="96"/>
        <v>1458.123</v>
      </c>
      <c r="BZ69" s="544" t="s">
        <v>479</v>
      </c>
      <c r="CA69" s="545">
        <v>30000000</v>
      </c>
      <c r="CB69" s="545">
        <v>30000000</v>
      </c>
      <c r="CC69" s="545">
        <v>30000000</v>
      </c>
      <c r="CD69" s="545">
        <v>0</v>
      </c>
      <c r="CE69" s="545">
        <f t="shared" si="97"/>
        <v>30000</v>
      </c>
      <c r="CF69" s="545">
        <f t="shared" si="98"/>
        <v>30000</v>
      </c>
      <c r="CG69" s="545">
        <f t="shared" si="99"/>
        <v>30000</v>
      </c>
      <c r="CH69" s="545">
        <f t="shared" si="100"/>
        <v>0</v>
      </c>
      <c r="CK69" s="547" t="s">
        <v>377</v>
      </c>
      <c r="CL69" s="546">
        <v>775183</v>
      </c>
      <c r="CM69" s="546">
        <f t="shared" si="101"/>
        <v>775.18299999999999</v>
      </c>
      <c r="CP69" s="547" t="s">
        <v>479</v>
      </c>
      <c r="CQ69" s="546">
        <v>30000000</v>
      </c>
      <c r="CR69" s="546">
        <v>30000000</v>
      </c>
      <c r="CS69" s="546">
        <v>30000000</v>
      </c>
      <c r="CT69" s="546">
        <v>0</v>
      </c>
      <c r="CU69" s="546">
        <f t="shared" si="68"/>
        <v>30000</v>
      </c>
      <c r="CV69" s="546">
        <f t="shared" si="69"/>
        <v>30000</v>
      </c>
      <c r="CW69" s="546">
        <f t="shared" si="70"/>
        <v>30000</v>
      </c>
      <c r="CX69" s="546">
        <f t="shared" si="71"/>
        <v>0</v>
      </c>
      <c r="CZ69" s="547" t="s">
        <v>375</v>
      </c>
      <c r="DA69" s="546">
        <v>1228493</v>
      </c>
      <c r="DB69" s="546">
        <f t="shared" si="102"/>
        <v>1228.4929999999999</v>
      </c>
      <c r="DE69" s="544" t="s">
        <v>479</v>
      </c>
      <c r="DF69" s="545">
        <v>30000000</v>
      </c>
      <c r="DG69" s="545">
        <v>30000000</v>
      </c>
      <c r="DH69" s="545">
        <v>30000000</v>
      </c>
      <c r="DI69" s="545">
        <v>0</v>
      </c>
      <c r="DJ69" s="546">
        <f t="shared" si="103"/>
        <v>30000</v>
      </c>
      <c r="DK69" s="546">
        <f t="shared" si="104"/>
        <v>30000</v>
      </c>
      <c r="DL69" s="546">
        <f t="shared" si="105"/>
        <v>30000</v>
      </c>
      <c r="DM69" s="546">
        <f t="shared" si="106"/>
        <v>0</v>
      </c>
      <c r="DP69" s="544" t="s">
        <v>381</v>
      </c>
      <c r="DQ69" s="545">
        <v>967695</v>
      </c>
      <c r="DR69" s="546">
        <f t="shared" si="107"/>
        <v>967.69500000000005</v>
      </c>
      <c r="DT69" s="544" t="s">
        <v>479</v>
      </c>
      <c r="DU69" s="545">
        <v>30000000</v>
      </c>
      <c r="DV69" s="545">
        <v>30000000</v>
      </c>
      <c r="DW69" s="545">
        <v>30000000</v>
      </c>
      <c r="DX69" s="545">
        <v>0</v>
      </c>
      <c r="DY69" s="546">
        <f t="shared" si="108"/>
        <v>30000</v>
      </c>
      <c r="DZ69" s="546">
        <f t="shared" si="109"/>
        <v>30000</v>
      </c>
      <c r="EA69" s="546">
        <f t="shared" si="110"/>
        <v>30000</v>
      </c>
      <c r="EB69" s="546">
        <f t="shared" si="111"/>
        <v>0</v>
      </c>
      <c r="EE69" s="547" t="s">
        <v>561</v>
      </c>
      <c r="EF69" s="546">
        <v>1849733</v>
      </c>
      <c r="EG69" s="548">
        <f t="shared" si="112"/>
        <v>1849.7329999999999</v>
      </c>
      <c r="EI69" s="547" t="s">
        <v>366</v>
      </c>
      <c r="EJ69" s="546">
        <v>11115147</v>
      </c>
      <c r="EK69" s="546">
        <v>9064947</v>
      </c>
      <c r="EL69" s="546">
        <v>9064947</v>
      </c>
      <c r="EM69" s="548">
        <f t="shared" si="113"/>
        <v>11115.147000000001</v>
      </c>
      <c r="EN69" s="548">
        <f t="shared" si="114"/>
        <v>9064.9470000000001</v>
      </c>
      <c r="EO69" s="548">
        <f t="shared" si="115"/>
        <v>9064.9470000000001</v>
      </c>
      <c r="ER69" s="544" t="s">
        <v>384</v>
      </c>
      <c r="ES69" s="545">
        <v>486244</v>
      </c>
      <c r="ET69" s="546">
        <f t="shared" si="116"/>
        <v>486.24400000000003</v>
      </c>
      <c r="EW69" s="544" t="s">
        <v>366</v>
      </c>
      <c r="EX69" s="545">
        <v>0</v>
      </c>
      <c r="EY69" s="545">
        <v>9064947</v>
      </c>
      <c r="EZ69" s="545">
        <v>9064947</v>
      </c>
      <c r="FA69" s="545">
        <v>9064947</v>
      </c>
      <c r="FB69" s="545">
        <v>0</v>
      </c>
      <c r="FC69" s="546">
        <f t="shared" si="117"/>
        <v>0</v>
      </c>
      <c r="FD69" s="546">
        <f t="shared" si="118"/>
        <v>9064.9470000000001</v>
      </c>
      <c r="FE69" s="546">
        <f t="shared" si="119"/>
        <v>9064.9470000000001</v>
      </c>
      <c r="FF69" s="546">
        <f t="shared" si="120"/>
        <v>9064.9470000000001</v>
      </c>
      <c r="FG69" s="546">
        <f t="shared" si="121"/>
        <v>0</v>
      </c>
      <c r="FJ69" s="547" t="s">
        <v>558</v>
      </c>
      <c r="FK69" s="546">
        <v>70000</v>
      </c>
      <c r="FL69" s="548">
        <f t="shared" si="122"/>
        <v>70</v>
      </c>
      <c r="FN69" s="549" t="s">
        <v>366</v>
      </c>
      <c r="FO69" s="550">
        <v>9064947</v>
      </c>
      <c r="FP69" s="550">
        <v>9064947</v>
      </c>
      <c r="FQ69" s="550">
        <v>9064947</v>
      </c>
      <c r="FR69" s="550">
        <f t="shared" si="123"/>
        <v>9064.9470000000001</v>
      </c>
      <c r="FS69" s="550">
        <f t="shared" si="124"/>
        <v>9064.9470000000001</v>
      </c>
      <c r="FT69" s="550">
        <f t="shared" si="125"/>
        <v>9064.9470000000001</v>
      </c>
    </row>
    <row r="70" spans="1:176" ht="15" customHeight="1" x14ac:dyDescent="0.25">
      <c r="A70" s="890" t="s">
        <v>888</v>
      </c>
      <c r="B70" s="544" t="s">
        <v>367</v>
      </c>
      <c r="C70" s="545">
        <v>0</v>
      </c>
      <c r="D70" s="545">
        <v>58934061</v>
      </c>
      <c r="E70" s="545">
        <v>4638828</v>
      </c>
      <c r="F70" s="545">
        <v>54295233</v>
      </c>
      <c r="G70" s="545">
        <v>1254311</v>
      </c>
      <c r="H70" s="546">
        <f t="shared" si="72"/>
        <v>61409.291562000006</v>
      </c>
      <c r="I70" s="546">
        <f t="shared" si="73"/>
        <v>4833.6587760000002</v>
      </c>
      <c r="J70" s="546">
        <f t="shared" si="74"/>
        <v>56575.632786000002</v>
      </c>
      <c r="K70" s="546">
        <f t="shared" si="75"/>
        <v>1306.992062</v>
      </c>
      <c r="O70" s="544" t="s">
        <v>569</v>
      </c>
      <c r="P70" s="545">
        <v>7306068</v>
      </c>
      <c r="Q70" s="546">
        <f t="shared" si="76"/>
        <v>7612.9228560000001</v>
      </c>
      <c r="S70" s="544" t="s">
        <v>367</v>
      </c>
      <c r="T70" s="545">
        <v>54214173</v>
      </c>
      <c r="U70" s="545">
        <v>5480922</v>
      </c>
      <c r="V70" s="545">
        <v>14027500</v>
      </c>
      <c r="W70" s="545">
        <v>40186673</v>
      </c>
      <c r="X70" s="546">
        <f t="shared" si="77"/>
        <v>56491.168266000008</v>
      </c>
      <c r="Y70" s="546">
        <f t="shared" si="78"/>
        <v>5711.1207239999994</v>
      </c>
      <c r="Z70" s="546">
        <f t="shared" si="79"/>
        <v>14616.655000000001</v>
      </c>
      <c r="AA70" s="546">
        <f t="shared" si="80"/>
        <v>41874.513266000002</v>
      </c>
      <c r="AC70" s="544" t="s">
        <v>381</v>
      </c>
      <c r="AD70" s="545">
        <v>1596816</v>
      </c>
      <c r="AE70" s="546">
        <f t="shared" si="81"/>
        <v>1596.816</v>
      </c>
      <c r="AG70" s="544" t="s">
        <v>480</v>
      </c>
      <c r="AH70" s="545">
        <v>24247918</v>
      </c>
      <c r="AI70" s="545">
        <v>0</v>
      </c>
      <c r="AJ70" s="545">
        <v>0</v>
      </c>
      <c r="AK70" s="545">
        <v>24247918</v>
      </c>
      <c r="AL70" s="545">
        <f t="shared" si="82"/>
        <v>24247.918000000001</v>
      </c>
      <c r="AM70" s="545">
        <f t="shared" si="83"/>
        <v>0</v>
      </c>
      <c r="AN70" s="545">
        <f t="shared" si="84"/>
        <v>0</v>
      </c>
      <c r="AO70" s="545">
        <f t="shared" si="85"/>
        <v>24247.918000000001</v>
      </c>
      <c r="AR70" s="544" t="s">
        <v>471</v>
      </c>
      <c r="AS70" s="545">
        <v>833190</v>
      </c>
      <c r="AT70" s="545">
        <f t="shared" si="86"/>
        <v>833.19</v>
      </c>
      <c r="AV70" s="544" t="s">
        <v>480</v>
      </c>
      <c r="AW70" s="545">
        <v>0</v>
      </c>
      <c r="AX70" s="545">
        <v>0</v>
      </c>
      <c r="AY70" s="545">
        <v>0</v>
      </c>
      <c r="AZ70" s="545">
        <v>0</v>
      </c>
      <c r="BA70" s="546">
        <f t="shared" si="87"/>
        <v>0</v>
      </c>
      <c r="BB70" s="546">
        <f t="shared" si="88"/>
        <v>0</v>
      </c>
      <c r="BC70" s="546">
        <f t="shared" si="89"/>
        <v>0</v>
      </c>
      <c r="BD70" s="546">
        <f t="shared" si="90"/>
        <v>0</v>
      </c>
      <c r="BG70" s="544" t="s">
        <v>568</v>
      </c>
      <c r="BH70" s="545">
        <v>5922715</v>
      </c>
      <c r="BI70" s="545">
        <f t="shared" si="91"/>
        <v>5922.7150000000001</v>
      </c>
      <c r="BK70" s="544" t="s">
        <v>480</v>
      </c>
      <c r="BL70" s="545">
        <v>0</v>
      </c>
      <c r="BM70" s="545">
        <v>0</v>
      </c>
      <c r="BN70" s="545">
        <v>0</v>
      </c>
      <c r="BO70" s="545">
        <v>0</v>
      </c>
      <c r="BP70" s="545">
        <f t="shared" si="92"/>
        <v>0</v>
      </c>
      <c r="BQ70" s="545">
        <f t="shared" si="93"/>
        <v>0</v>
      </c>
      <c r="BR70" s="545">
        <f t="shared" si="94"/>
        <v>0</v>
      </c>
      <c r="BS70" s="545">
        <f t="shared" si="95"/>
        <v>0</v>
      </c>
      <c r="BV70" s="544" t="s">
        <v>380</v>
      </c>
      <c r="BW70" s="545">
        <v>474317</v>
      </c>
      <c r="BX70" s="546">
        <f t="shared" si="96"/>
        <v>474.31700000000001</v>
      </c>
      <c r="BZ70" s="544" t="s">
        <v>480</v>
      </c>
      <c r="CA70" s="545">
        <v>30000000</v>
      </c>
      <c r="CB70" s="545">
        <v>30000000</v>
      </c>
      <c r="CC70" s="545">
        <v>30000000</v>
      </c>
      <c r="CD70" s="545">
        <v>0</v>
      </c>
      <c r="CE70" s="545">
        <f t="shared" si="97"/>
        <v>30000</v>
      </c>
      <c r="CF70" s="545">
        <f t="shared" si="98"/>
        <v>30000</v>
      </c>
      <c r="CG70" s="545">
        <f t="shared" si="99"/>
        <v>30000</v>
      </c>
      <c r="CH70" s="545">
        <f t="shared" si="100"/>
        <v>0</v>
      </c>
      <c r="CK70" s="547" t="s">
        <v>380</v>
      </c>
      <c r="CL70" s="546">
        <v>474317</v>
      </c>
      <c r="CM70" s="546">
        <f t="shared" si="101"/>
        <v>474.31700000000001</v>
      </c>
      <c r="CP70" s="547" t="s">
        <v>480</v>
      </c>
      <c r="CQ70" s="546">
        <v>30000000</v>
      </c>
      <c r="CR70" s="546">
        <v>30000000</v>
      </c>
      <c r="CS70" s="546">
        <v>30000000</v>
      </c>
      <c r="CT70" s="546">
        <v>0</v>
      </c>
      <c r="CU70" s="546">
        <f t="shared" si="68"/>
        <v>30000</v>
      </c>
      <c r="CV70" s="546">
        <f t="shared" si="69"/>
        <v>30000</v>
      </c>
      <c r="CW70" s="546">
        <f t="shared" si="70"/>
        <v>30000</v>
      </c>
      <c r="CX70" s="546">
        <f t="shared" si="71"/>
        <v>0</v>
      </c>
      <c r="CZ70" s="547" t="s">
        <v>376</v>
      </c>
      <c r="DA70" s="546">
        <v>775054</v>
      </c>
      <c r="DB70" s="546">
        <f t="shared" si="102"/>
        <v>775.05399999999997</v>
      </c>
      <c r="DE70" s="544" t="s">
        <v>480</v>
      </c>
      <c r="DF70" s="545">
        <v>30000000</v>
      </c>
      <c r="DG70" s="545">
        <v>30000000</v>
      </c>
      <c r="DH70" s="545">
        <v>30000000</v>
      </c>
      <c r="DI70" s="545">
        <v>0</v>
      </c>
      <c r="DJ70" s="546">
        <f t="shared" si="103"/>
        <v>30000</v>
      </c>
      <c r="DK70" s="546">
        <f t="shared" si="104"/>
        <v>30000</v>
      </c>
      <c r="DL70" s="546">
        <f t="shared" si="105"/>
        <v>30000</v>
      </c>
      <c r="DM70" s="546">
        <f t="shared" si="106"/>
        <v>0</v>
      </c>
      <c r="DP70" s="544" t="s">
        <v>560</v>
      </c>
      <c r="DQ70" s="545">
        <v>371280</v>
      </c>
      <c r="DR70" s="546">
        <f t="shared" si="107"/>
        <v>371.28</v>
      </c>
      <c r="DT70" s="544" t="s">
        <v>480</v>
      </c>
      <c r="DU70" s="545">
        <v>30000000</v>
      </c>
      <c r="DV70" s="545">
        <v>30000000</v>
      </c>
      <c r="DW70" s="545">
        <v>30000000</v>
      </c>
      <c r="DX70" s="545">
        <v>0</v>
      </c>
      <c r="DY70" s="546">
        <f t="shared" si="108"/>
        <v>30000</v>
      </c>
      <c r="DZ70" s="546">
        <f t="shared" si="109"/>
        <v>30000</v>
      </c>
      <c r="EA70" s="546">
        <f t="shared" si="110"/>
        <v>30000</v>
      </c>
      <c r="EB70" s="546">
        <f t="shared" si="111"/>
        <v>0</v>
      </c>
      <c r="EE70" s="547" t="s">
        <v>564</v>
      </c>
      <c r="EF70" s="546">
        <v>1174196</v>
      </c>
      <c r="EG70" s="548">
        <f t="shared" si="112"/>
        <v>1174.1959999999999</v>
      </c>
      <c r="EI70" s="547" t="s">
        <v>479</v>
      </c>
      <c r="EJ70" s="546">
        <v>30000000</v>
      </c>
      <c r="EK70" s="546">
        <v>30000000</v>
      </c>
      <c r="EL70" s="546">
        <v>30000000</v>
      </c>
      <c r="EM70" s="548">
        <f t="shared" si="113"/>
        <v>30000</v>
      </c>
      <c r="EN70" s="548">
        <f t="shared" si="114"/>
        <v>30000</v>
      </c>
      <c r="EO70" s="548">
        <f t="shared" si="115"/>
        <v>30000</v>
      </c>
      <c r="ER70" s="544" t="s">
        <v>386</v>
      </c>
      <c r="ES70" s="545">
        <v>134955799</v>
      </c>
      <c r="ET70" s="546">
        <f t="shared" si="116"/>
        <v>134955.799</v>
      </c>
      <c r="EW70" s="544" t="s">
        <v>479</v>
      </c>
      <c r="EX70" s="545">
        <v>0</v>
      </c>
      <c r="EY70" s="545">
        <v>60000000</v>
      </c>
      <c r="EZ70" s="545">
        <v>60000000</v>
      </c>
      <c r="FA70" s="545">
        <v>60000000</v>
      </c>
      <c r="FB70" s="545">
        <v>0</v>
      </c>
      <c r="FC70" s="546">
        <f t="shared" si="117"/>
        <v>0</v>
      </c>
      <c r="FD70" s="546">
        <f t="shared" si="118"/>
        <v>60000</v>
      </c>
      <c r="FE70" s="546">
        <f t="shared" si="119"/>
        <v>60000</v>
      </c>
      <c r="FF70" s="546">
        <f t="shared" si="120"/>
        <v>60000</v>
      </c>
      <c r="FG70" s="546">
        <f t="shared" si="121"/>
        <v>0</v>
      </c>
      <c r="FJ70" s="547" t="s">
        <v>371</v>
      </c>
      <c r="FK70" s="546">
        <v>213393</v>
      </c>
      <c r="FL70" s="548">
        <f t="shared" si="122"/>
        <v>213.393</v>
      </c>
      <c r="FN70" s="549" t="s">
        <v>479</v>
      </c>
      <c r="FO70" s="550">
        <v>60000000</v>
      </c>
      <c r="FP70" s="550">
        <v>60000000</v>
      </c>
      <c r="FQ70" s="550">
        <v>60000000</v>
      </c>
      <c r="FR70" s="550">
        <f t="shared" si="123"/>
        <v>60000</v>
      </c>
      <c r="FS70" s="550">
        <f t="shared" si="124"/>
        <v>60000</v>
      </c>
      <c r="FT70" s="550">
        <f t="shared" si="125"/>
        <v>60000</v>
      </c>
    </row>
    <row r="71" spans="1:176" ht="15" customHeight="1" x14ac:dyDescent="0.25">
      <c r="A71" s="890" t="s">
        <v>889</v>
      </c>
      <c r="B71" s="544" t="s">
        <v>368</v>
      </c>
      <c r="C71" s="545">
        <v>0</v>
      </c>
      <c r="D71" s="545">
        <v>12000000</v>
      </c>
      <c r="E71" s="545">
        <v>1707078</v>
      </c>
      <c r="F71" s="545">
        <v>10292922</v>
      </c>
      <c r="G71" s="545">
        <v>1184311</v>
      </c>
      <c r="H71" s="546">
        <f t="shared" si="72"/>
        <v>12504</v>
      </c>
      <c r="I71" s="546">
        <f t="shared" si="73"/>
        <v>1778.7752760000001</v>
      </c>
      <c r="J71" s="546">
        <f t="shared" si="74"/>
        <v>10725.224724000002</v>
      </c>
      <c r="K71" s="546">
        <f t="shared" si="75"/>
        <v>1234.052062</v>
      </c>
      <c r="O71" s="544" t="s">
        <v>571</v>
      </c>
      <c r="P71" s="545">
        <v>25434590</v>
      </c>
      <c r="Q71" s="546">
        <f t="shared" si="76"/>
        <v>26502.842780000003</v>
      </c>
      <c r="S71" s="544" t="s">
        <v>368</v>
      </c>
      <c r="T71" s="545">
        <v>11107500</v>
      </c>
      <c r="U71" s="545">
        <v>1601097</v>
      </c>
      <c r="V71" s="545">
        <v>1707078</v>
      </c>
      <c r="W71" s="545">
        <v>9400422</v>
      </c>
      <c r="X71" s="546">
        <f t="shared" si="77"/>
        <v>11574.015000000001</v>
      </c>
      <c r="Y71" s="546">
        <f t="shared" si="78"/>
        <v>1668.3430740000001</v>
      </c>
      <c r="Z71" s="546">
        <f t="shared" si="79"/>
        <v>1778.7752760000001</v>
      </c>
      <c r="AA71" s="546">
        <f t="shared" si="80"/>
        <v>9795.2397240000009</v>
      </c>
      <c r="AC71" s="544" t="s">
        <v>561</v>
      </c>
      <c r="AD71" s="545">
        <v>1053325</v>
      </c>
      <c r="AE71" s="546">
        <f t="shared" si="81"/>
        <v>1053.325</v>
      </c>
      <c r="AG71" s="544" t="s">
        <v>367</v>
      </c>
      <c r="AH71" s="545">
        <v>52955348</v>
      </c>
      <c r="AI71" s="545">
        <v>13429331</v>
      </c>
      <c r="AJ71" s="545">
        <v>18506469</v>
      </c>
      <c r="AK71" s="545">
        <v>34448879</v>
      </c>
      <c r="AL71" s="545">
        <f t="shared" si="82"/>
        <v>52955.347999999998</v>
      </c>
      <c r="AM71" s="545">
        <f t="shared" si="83"/>
        <v>13429.331</v>
      </c>
      <c r="AN71" s="545">
        <f t="shared" si="84"/>
        <v>18506.469000000001</v>
      </c>
      <c r="AO71" s="545">
        <f t="shared" si="85"/>
        <v>34448.879000000001</v>
      </c>
      <c r="AR71" s="544" t="s">
        <v>565</v>
      </c>
      <c r="AS71" s="545">
        <v>19471634</v>
      </c>
      <c r="AT71" s="545">
        <f t="shared" si="86"/>
        <v>19471.633999999998</v>
      </c>
      <c r="AV71" s="544" t="s">
        <v>367</v>
      </c>
      <c r="AW71" s="545">
        <v>47029334</v>
      </c>
      <c r="AX71" s="545">
        <v>16206672</v>
      </c>
      <c r="AY71" s="545">
        <v>21025428</v>
      </c>
      <c r="AZ71" s="545">
        <v>26003906</v>
      </c>
      <c r="BA71" s="546">
        <f t="shared" si="87"/>
        <v>47029.334000000003</v>
      </c>
      <c r="BB71" s="546">
        <f t="shared" si="88"/>
        <v>16206.672</v>
      </c>
      <c r="BC71" s="546">
        <f t="shared" si="89"/>
        <v>21025.428</v>
      </c>
      <c r="BD71" s="546">
        <f t="shared" si="90"/>
        <v>26003.905999999999</v>
      </c>
      <c r="BG71" s="544" t="s">
        <v>569</v>
      </c>
      <c r="BH71" s="545">
        <v>9377983</v>
      </c>
      <c r="BI71" s="545">
        <f t="shared" si="91"/>
        <v>9377.9830000000002</v>
      </c>
      <c r="BK71" s="544" t="s">
        <v>367</v>
      </c>
      <c r="BL71" s="545">
        <v>50751790</v>
      </c>
      <c r="BM71" s="545">
        <v>19066093</v>
      </c>
      <c r="BN71" s="545">
        <v>31431040</v>
      </c>
      <c r="BO71" s="545">
        <v>19320750</v>
      </c>
      <c r="BP71" s="545">
        <f t="shared" si="92"/>
        <v>50751.79</v>
      </c>
      <c r="BQ71" s="545">
        <f t="shared" si="93"/>
        <v>19066.093000000001</v>
      </c>
      <c r="BR71" s="545">
        <f t="shared" si="94"/>
        <v>31431.040000000001</v>
      </c>
      <c r="BS71" s="545">
        <f t="shared" si="95"/>
        <v>19320.75</v>
      </c>
      <c r="BV71" s="544" t="s">
        <v>559</v>
      </c>
      <c r="BW71" s="545">
        <v>3135806</v>
      </c>
      <c r="BX71" s="546">
        <f t="shared" si="96"/>
        <v>3135.806</v>
      </c>
      <c r="BZ71" s="544" t="s">
        <v>367</v>
      </c>
      <c r="CA71" s="545">
        <v>52307559</v>
      </c>
      <c r="CB71" s="545">
        <v>23304677</v>
      </c>
      <c r="CC71" s="545">
        <v>33502104</v>
      </c>
      <c r="CD71" s="545">
        <v>18805455</v>
      </c>
      <c r="CE71" s="545">
        <f t="shared" si="97"/>
        <v>52307.559000000001</v>
      </c>
      <c r="CF71" s="545">
        <f t="shared" si="98"/>
        <v>23304.677</v>
      </c>
      <c r="CG71" s="545">
        <f t="shared" si="99"/>
        <v>33502.103999999999</v>
      </c>
      <c r="CH71" s="545">
        <f t="shared" si="100"/>
        <v>18805.455000000002</v>
      </c>
      <c r="CK71" s="547" t="s">
        <v>559</v>
      </c>
      <c r="CL71" s="546">
        <v>1663620</v>
      </c>
      <c r="CM71" s="546">
        <f t="shared" si="101"/>
        <v>1663.62</v>
      </c>
      <c r="CP71" s="547" t="s">
        <v>367</v>
      </c>
      <c r="CQ71" s="546">
        <v>57611529</v>
      </c>
      <c r="CR71" s="546">
        <v>31662836</v>
      </c>
      <c r="CS71" s="546">
        <v>43256240</v>
      </c>
      <c r="CT71" s="546">
        <v>14355289</v>
      </c>
      <c r="CU71" s="546">
        <f t="shared" si="68"/>
        <v>57611.529000000002</v>
      </c>
      <c r="CV71" s="546">
        <f t="shared" si="69"/>
        <v>31662.835999999999</v>
      </c>
      <c r="CW71" s="546">
        <f t="shared" si="70"/>
        <v>43256.24</v>
      </c>
      <c r="CX71" s="546">
        <f t="shared" si="71"/>
        <v>14355.289000000001</v>
      </c>
      <c r="CZ71" s="547" t="s">
        <v>377</v>
      </c>
      <c r="DA71" s="546">
        <v>1073892</v>
      </c>
      <c r="DB71" s="546">
        <f t="shared" si="102"/>
        <v>1073.8920000000001</v>
      </c>
      <c r="DE71" s="544" t="s">
        <v>367</v>
      </c>
      <c r="DF71" s="545">
        <v>59229111</v>
      </c>
      <c r="DG71" s="545">
        <v>42167085</v>
      </c>
      <c r="DH71" s="545">
        <v>45638875</v>
      </c>
      <c r="DI71" s="545">
        <v>13590236</v>
      </c>
      <c r="DJ71" s="546">
        <f t="shared" si="103"/>
        <v>59229.110999999997</v>
      </c>
      <c r="DK71" s="546">
        <f t="shared" si="104"/>
        <v>42167.084999999999</v>
      </c>
      <c r="DL71" s="546">
        <f t="shared" si="105"/>
        <v>45638.875</v>
      </c>
      <c r="DM71" s="546">
        <f t="shared" si="106"/>
        <v>13590.236000000001</v>
      </c>
      <c r="DP71" s="544" t="s">
        <v>561</v>
      </c>
      <c r="DQ71" s="545">
        <v>596415</v>
      </c>
      <c r="DR71" s="546">
        <f t="shared" si="107"/>
        <v>596.41499999999996</v>
      </c>
      <c r="DT71" s="544" t="s">
        <v>367</v>
      </c>
      <c r="DU71" s="545">
        <v>60366990</v>
      </c>
      <c r="DV71" s="545">
        <v>44002380</v>
      </c>
      <c r="DW71" s="545">
        <v>46776754</v>
      </c>
      <c r="DX71" s="545">
        <v>13590236</v>
      </c>
      <c r="DY71" s="546">
        <f t="shared" si="108"/>
        <v>60366.99</v>
      </c>
      <c r="DZ71" s="546">
        <f t="shared" si="109"/>
        <v>44002.38</v>
      </c>
      <c r="EA71" s="546">
        <f t="shared" si="110"/>
        <v>46776.754000000001</v>
      </c>
      <c r="EB71" s="546">
        <f t="shared" si="111"/>
        <v>13590.236000000001</v>
      </c>
      <c r="EE71" s="547" t="s">
        <v>382</v>
      </c>
      <c r="EF71" s="546">
        <v>285600</v>
      </c>
      <c r="EG71" s="548">
        <f t="shared" si="112"/>
        <v>285.60000000000002</v>
      </c>
      <c r="EI71" s="547" t="s">
        <v>480</v>
      </c>
      <c r="EJ71" s="546">
        <v>30000000</v>
      </c>
      <c r="EK71" s="546">
        <v>30000000</v>
      </c>
      <c r="EL71" s="546">
        <v>30000000</v>
      </c>
      <c r="EM71" s="548">
        <f t="shared" si="113"/>
        <v>30000</v>
      </c>
      <c r="EN71" s="548">
        <f t="shared" si="114"/>
        <v>30000</v>
      </c>
      <c r="EO71" s="548">
        <f t="shared" si="115"/>
        <v>30000</v>
      </c>
      <c r="ER71" s="544" t="s">
        <v>387</v>
      </c>
      <c r="ES71" s="545">
        <v>8445477</v>
      </c>
      <c r="ET71" s="546">
        <f t="shared" si="116"/>
        <v>8445.4770000000008</v>
      </c>
      <c r="EW71" s="544" t="s">
        <v>480</v>
      </c>
      <c r="EX71" s="545">
        <v>0</v>
      </c>
      <c r="EY71" s="545">
        <v>60000000</v>
      </c>
      <c r="EZ71" s="545">
        <v>60000000</v>
      </c>
      <c r="FA71" s="545">
        <v>60000000</v>
      </c>
      <c r="FB71" s="545">
        <v>0</v>
      </c>
      <c r="FC71" s="546">
        <f t="shared" si="117"/>
        <v>0</v>
      </c>
      <c r="FD71" s="546">
        <f t="shared" si="118"/>
        <v>60000</v>
      </c>
      <c r="FE71" s="546">
        <f t="shared" si="119"/>
        <v>60000</v>
      </c>
      <c r="FF71" s="546">
        <f t="shared" si="120"/>
        <v>60000</v>
      </c>
      <c r="FG71" s="546">
        <f t="shared" si="121"/>
        <v>0</v>
      </c>
      <c r="FJ71" s="547" t="s">
        <v>372</v>
      </c>
      <c r="FK71" s="546">
        <v>2753977</v>
      </c>
      <c r="FL71" s="548">
        <f t="shared" si="122"/>
        <v>2753.9769999999999</v>
      </c>
      <c r="FN71" s="549" t="s">
        <v>480</v>
      </c>
      <c r="FO71" s="550">
        <v>60000000</v>
      </c>
      <c r="FP71" s="550">
        <v>60000000</v>
      </c>
      <c r="FQ71" s="550">
        <v>60000000</v>
      </c>
      <c r="FR71" s="550">
        <f t="shared" si="123"/>
        <v>60000</v>
      </c>
      <c r="FS71" s="550">
        <f t="shared" si="124"/>
        <v>60000</v>
      </c>
      <c r="FT71" s="550">
        <f t="shared" si="125"/>
        <v>60000</v>
      </c>
    </row>
    <row r="72" spans="1:176" ht="15" customHeight="1" x14ac:dyDescent="0.25">
      <c r="A72" s="890" t="s">
        <v>889</v>
      </c>
      <c r="B72" s="544" t="s">
        <v>750</v>
      </c>
      <c r="C72" s="545">
        <v>0</v>
      </c>
      <c r="D72" s="545">
        <v>314160</v>
      </c>
      <c r="E72" s="545">
        <v>0</v>
      </c>
      <c r="F72" s="545">
        <v>314160</v>
      </c>
      <c r="G72" s="545">
        <v>0</v>
      </c>
      <c r="H72" s="546">
        <f t="shared" si="72"/>
        <v>327.35472000000004</v>
      </c>
      <c r="I72" s="546">
        <f t="shared" si="73"/>
        <v>0</v>
      </c>
      <c r="J72" s="546">
        <f t="shared" si="74"/>
        <v>327.35472000000004</v>
      </c>
      <c r="K72" s="546">
        <f t="shared" si="75"/>
        <v>0</v>
      </c>
      <c r="O72" s="544" t="s">
        <v>394</v>
      </c>
      <c r="P72" s="545">
        <v>2515680</v>
      </c>
      <c r="Q72" s="546">
        <f t="shared" si="76"/>
        <v>2621.3385600000001</v>
      </c>
      <c r="S72" s="544" t="s">
        <v>750</v>
      </c>
      <c r="T72" s="545">
        <v>314160</v>
      </c>
      <c r="U72" s="545">
        <v>314160</v>
      </c>
      <c r="V72" s="545">
        <v>314160</v>
      </c>
      <c r="W72" s="545">
        <v>0</v>
      </c>
      <c r="X72" s="546">
        <f t="shared" si="77"/>
        <v>327.35472000000004</v>
      </c>
      <c r="Y72" s="546">
        <f t="shared" si="78"/>
        <v>327.35472000000004</v>
      </c>
      <c r="Z72" s="546">
        <f t="shared" si="79"/>
        <v>327.35472000000004</v>
      </c>
      <c r="AA72" s="546">
        <f t="shared" si="80"/>
        <v>0</v>
      </c>
      <c r="AC72" s="544" t="s">
        <v>564</v>
      </c>
      <c r="AD72" s="545">
        <v>543491</v>
      </c>
      <c r="AE72" s="546">
        <f t="shared" si="81"/>
        <v>543.49099999999999</v>
      </c>
      <c r="AG72" s="544" t="s">
        <v>368</v>
      </c>
      <c r="AH72" s="545">
        <v>9642675</v>
      </c>
      <c r="AI72" s="545">
        <v>1601097</v>
      </c>
      <c r="AJ72" s="545">
        <v>1707078</v>
      </c>
      <c r="AK72" s="545">
        <v>7935597</v>
      </c>
      <c r="AL72" s="545">
        <f t="shared" si="82"/>
        <v>9642.6749999999993</v>
      </c>
      <c r="AM72" s="545">
        <f t="shared" si="83"/>
        <v>1601.097</v>
      </c>
      <c r="AN72" s="545">
        <f t="shared" si="84"/>
        <v>1707.078</v>
      </c>
      <c r="AO72" s="545">
        <f t="shared" si="85"/>
        <v>7935.5969999999998</v>
      </c>
      <c r="AR72" s="544" t="s">
        <v>566</v>
      </c>
      <c r="AS72" s="545">
        <v>8382940</v>
      </c>
      <c r="AT72" s="545">
        <f t="shared" si="86"/>
        <v>8382.94</v>
      </c>
      <c r="AV72" s="544" t="s">
        <v>368</v>
      </c>
      <c r="AW72" s="545">
        <v>4001137</v>
      </c>
      <c r="AX72" s="545">
        <v>1601097</v>
      </c>
      <c r="AY72" s="545">
        <v>1707078</v>
      </c>
      <c r="AZ72" s="545">
        <v>2294059</v>
      </c>
      <c r="BA72" s="546">
        <f t="shared" si="87"/>
        <v>4001.1370000000002</v>
      </c>
      <c r="BB72" s="546">
        <f t="shared" si="88"/>
        <v>1601.097</v>
      </c>
      <c r="BC72" s="546">
        <f t="shared" si="89"/>
        <v>1707.078</v>
      </c>
      <c r="BD72" s="546">
        <f t="shared" si="90"/>
        <v>2294.0590000000002</v>
      </c>
      <c r="BG72" s="544" t="s">
        <v>571</v>
      </c>
      <c r="BH72" s="545">
        <v>111837101</v>
      </c>
      <c r="BI72" s="545">
        <f t="shared" si="91"/>
        <v>111837.101</v>
      </c>
      <c r="BK72" s="544" t="s">
        <v>368</v>
      </c>
      <c r="BL72" s="545">
        <v>5031765</v>
      </c>
      <c r="BM72" s="545">
        <v>1647215</v>
      </c>
      <c r="BN72" s="545">
        <v>4974395</v>
      </c>
      <c r="BO72" s="545">
        <v>57370</v>
      </c>
      <c r="BP72" s="545">
        <f t="shared" si="92"/>
        <v>5031.7650000000003</v>
      </c>
      <c r="BQ72" s="545">
        <f t="shared" si="93"/>
        <v>1647.2149999999999</v>
      </c>
      <c r="BR72" s="545">
        <f t="shared" si="94"/>
        <v>4974.3950000000004</v>
      </c>
      <c r="BS72" s="545">
        <f t="shared" si="95"/>
        <v>57.37</v>
      </c>
      <c r="BV72" s="544" t="s">
        <v>381</v>
      </c>
      <c r="BW72" s="545">
        <v>1340432</v>
      </c>
      <c r="BX72" s="546">
        <f t="shared" si="96"/>
        <v>1340.432</v>
      </c>
      <c r="BZ72" s="544" t="s">
        <v>368</v>
      </c>
      <c r="CA72" s="545">
        <v>4976821</v>
      </c>
      <c r="CB72" s="545">
        <v>1647215</v>
      </c>
      <c r="CC72" s="545">
        <v>4974395</v>
      </c>
      <c r="CD72" s="545">
        <v>2426</v>
      </c>
      <c r="CE72" s="545">
        <f t="shared" si="97"/>
        <v>4976.8209999999999</v>
      </c>
      <c r="CF72" s="545">
        <f t="shared" si="98"/>
        <v>1647.2149999999999</v>
      </c>
      <c r="CG72" s="545">
        <f t="shared" si="99"/>
        <v>4974.3950000000004</v>
      </c>
      <c r="CH72" s="545">
        <f t="shared" si="100"/>
        <v>2.4260000000000002</v>
      </c>
      <c r="CK72" s="547" t="s">
        <v>381</v>
      </c>
      <c r="CL72" s="546">
        <v>3508462</v>
      </c>
      <c r="CM72" s="546">
        <f t="shared" si="101"/>
        <v>3508.462</v>
      </c>
      <c r="CP72" s="547" t="s">
        <v>368</v>
      </c>
      <c r="CQ72" s="546">
        <v>5629536</v>
      </c>
      <c r="CR72" s="546">
        <v>5177814</v>
      </c>
      <c r="CS72" s="546">
        <v>5627110</v>
      </c>
      <c r="CT72" s="546">
        <v>2426</v>
      </c>
      <c r="CU72" s="546">
        <f t="shared" si="68"/>
        <v>5629.5360000000001</v>
      </c>
      <c r="CV72" s="546">
        <f t="shared" si="69"/>
        <v>5177.8140000000003</v>
      </c>
      <c r="CW72" s="546">
        <f t="shared" si="70"/>
        <v>5627.11</v>
      </c>
      <c r="CX72" s="546">
        <f t="shared" si="71"/>
        <v>2.4260000000000002</v>
      </c>
      <c r="CZ72" s="547" t="s">
        <v>380</v>
      </c>
      <c r="DA72" s="546">
        <v>474317</v>
      </c>
      <c r="DB72" s="546">
        <f t="shared" si="102"/>
        <v>474.31700000000001</v>
      </c>
      <c r="DE72" s="544" t="s">
        <v>368</v>
      </c>
      <c r="DF72" s="545">
        <v>5629536</v>
      </c>
      <c r="DG72" s="545">
        <v>4348735</v>
      </c>
      <c r="DH72" s="545">
        <v>5627110</v>
      </c>
      <c r="DI72" s="545">
        <v>2426</v>
      </c>
      <c r="DJ72" s="546">
        <f t="shared" si="103"/>
        <v>5629.5360000000001</v>
      </c>
      <c r="DK72" s="546">
        <f t="shared" si="104"/>
        <v>4348.7349999999997</v>
      </c>
      <c r="DL72" s="546">
        <f t="shared" si="105"/>
        <v>5627.11</v>
      </c>
      <c r="DM72" s="546">
        <f t="shared" si="106"/>
        <v>2.4260000000000002</v>
      </c>
      <c r="DP72" s="544" t="s">
        <v>383</v>
      </c>
      <c r="DQ72" s="545">
        <v>65494006</v>
      </c>
      <c r="DR72" s="546">
        <f t="shared" si="107"/>
        <v>65494.006000000001</v>
      </c>
      <c r="DT72" s="544" t="s">
        <v>368</v>
      </c>
      <c r="DU72" s="545">
        <v>5629536</v>
      </c>
      <c r="DV72" s="545">
        <v>4454716</v>
      </c>
      <c r="DW72" s="545">
        <v>5627110</v>
      </c>
      <c r="DX72" s="545">
        <v>2426</v>
      </c>
      <c r="DY72" s="546">
        <f t="shared" si="108"/>
        <v>5629.5360000000001</v>
      </c>
      <c r="DZ72" s="546">
        <f t="shared" si="109"/>
        <v>4454.7160000000003</v>
      </c>
      <c r="EA72" s="546">
        <f t="shared" si="110"/>
        <v>5627.11</v>
      </c>
      <c r="EB72" s="546">
        <f t="shared" si="111"/>
        <v>2.4260000000000002</v>
      </c>
      <c r="EE72" s="547" t="s">
        <v>383</v>
      </c>
      <c r="EF72" s="546">
        <v>1838707</v>
      </c>
      <c r="EG72" s="548">
        <f t="shared" si="112"/>
        <v>1838.7070000000001</v>
      </c>
      <c r="EI72" s="547" t="s">
        <v>367</v>
      </c>
      <c r="EJ72" s="546">
        <v>62472532</v>
      </c>
      <c r="EK72" s="546">
        <v>51301679</v>
      </c>
      <c r="EL72" s="546">
        <v>46418753</v>
      </c>
      <c r="EM72" s="548">
        <f t="shared" si="113"/>
        <v>62472.531999999999</v>
      </c>
      <c r="EN72" s="548">
        <f t="shared" si="114"/>
        <v>51301.678999999996</v>
      </c>
      <c r="EO72" s="548">
        <f t="shared" si="115"/>
        <v>46418.752999999997</v>
      </c>
      <c r="ER72" s="544" t="s">
        <v>471</v>
      </c>
      <c r="ES72" s="545">
        <v>3926180</v>
      </c>
      <c r="ET72" s="546">
        <f t="shared" si="116"/>
        <v>3926.18</v>
      </c>
      <c r="EW72" s="544" t="s">
        <v>367</v>
      </c>
      <c r="EX72" s="545">
        <v>0</v>
      </c>
      <c r="EY72" s="545">
        <v>95047327</v>
      </c>
      <c r="EZ72" s="545">
        <v>61045480</v>
      </c>
      <c r="FA72" s="545">
        <v>78222721</v>
      </c>
      <c r="FB72" s="545">
        <v>16824606</v>
      </c>
      <c r="FC72" s="546">
        <f t="shared" si="117"/>
        <v>0</v>
      </c>
      <c r="FD72" s="546">
        <f t="shared" si="118"/>
        <v>95047.327000000005</v>
      </c>
      <c r="FE72" s="546">
        <f t="shared" si="119"/>
        <v>61045.48</v>
      </c>
      <c r="FF72" s="546">
        <f t="shared" si="120"/>
        <v>78222.721000000005</v>
      </c>
      <c r="FG72" s="546">
        <f t="shared" si="121"/>
        <v>16824.606</v>
      </c>
      <c r="FJ72" s="547" t="s">
        <v>373</v>
      </c>
      <c r="FK72" s="546">
        <v>16521404</v>
      </c>
      <c r="FL72" s="548">
        <f t="shared" si="122"/>
        <v>16521.403999999999</v>
      </c>
      <c r="FN72" s="549" t="s">
        <v>367</v>
      </c>
      <c r="FO72" s="550">
        <v>96978515</v>
      </c>
      <c r="FP72" s="550">
        <v>82607721</v>
      </c>
      <c r="FQ72" s="550">
        <v>83214696</v>
      </c>
      <c r="FR72" s="550">
        <f t="shared" si="123"/>
        <v>96978.514999999999</v>
      </c>
      <c r="FS72" s="550">
        <f t="shared" si="124"/>
        <v>82607.721000000005</v>
      </c>
      <c r="FT72" s="550">
        <f t="shared" si="125"/>
        <v>83214.695999999996</v>
      </c>
    </row>
    <row r="73" spans="1:176" ht="15" customHeight="1" x14ac:dyDescent="0.25">
      <c r="A73" s="890" t="s">
        <v>889</v>
      </c>
      <c r="B73" s="544" t="s">
        <v>553</v>
      </c>
      <c r="C73" s="545">
        <v>0</v>
      </c>
      <c r="D73" s="545">
        <v>685840</v>
      </c>
      <c r="E73" s="545">
        <v>0</v>
      </c>
      <c r="F73" s="545">
        <v>685840</v>
      </c>
      <c r="G73" s="545">
        <v>0</v>
      </c>
      <c r="H73" s="546">
        <f t="shared" si="72"/>
        <v>714.64528000000007</v>
      </c>
      <c r="I73" s="546">
        <f t="shared" si="73"/>
        <v>0</v>
      </c>
      <c r="J73" s="546">
        <f t="shared" si="74"/>
        <v>714.64528000000007</v>
      </c>
      <c r="K73" s="546">
        <f t="shared" si="75"/>
        <v>0</v>
      </c>
      <c r="O73" s="544" t="s">
        <v>395</v>
      </c>
      <c r="P73" s="545">
        <v>22918910</v>
      </c>
      <c r="Q73" s="546">
        <f t="shared" si="76"/>
        <v>23881.504219999999</v>
      </c>
      <c r="S73" s="544" t="s">
        <v>553</v>
      </c>
      <c r="T73" s="545">
        <v>685840</v>
      </c>
      <c r="U73" s="545">
        <v>0</v>
      </c>
      <c r="V73" s="545">
        <v>0</v>
      </c>
      <c r="W73" s="545">
        <v>685840</v>
      </c>
      <c r="X73" s="546">
        <f t="shared" si="77"/>
        <v>714.64528000000007</v>
      </c>
      <c r="Y73" s="546">
        <f t="shared" si="78"/>
        <v>0</v>
      </c>
      <c r="Z73" s="546">
        <f t="shared" si="79"/>
        <v>0</v>
      </c>
      <c r="AA73" s="546">
        <f t="shared" si="80"/>
        <v>714.64528000000007</v>
      </c>
      <c r="AC73" s="544" t="s">
        <v>383</v>
      </c>
      <c r="AD73" s="545">
        <v>2429598</v>
      </c>
      <c r="AE73" s="546">
        <f t="shared" si="81"/>
        <v>2429.598</v>
      </c>
      <c r="AG73" s="544" t="s">
        <v>750</v>
      </c>
      <c r="AH73" s="545">
        <v>314160</v>
      </c>
      <c r="AI73" s="545">
        <v>314160</v>
      </c>
      <c r="AJ73" s="545">
        <v>314160</v>
      </c>
      <c r="AK73" s="545">
        <v>0</v>
      </c>
      <c r="AL73" s="545">
        <f t="shared" si="82"/>
        <v>314.16000000000003</v>
      </c>
      <c r="AM73" s="545">
        <f t="shared" si="83"/>
        <v>314.16000000000003</v>
      </c>
      <c r="AN73" s="545">
        <f t="shared" si="84"/>
        <v>314.16000000000003</v>
      </c>
      <c r="AO73" s="545">
        <f t="shared" si="85"/>
        <v>0</v>
      </c>
      <c r="AR73" s="544" t="s">
        <v>567</v>
      </c>
      <c r="AS73" s="545">
        <v>263761</v>
      </c>
      <c r="AT73" s="545">
        <f t="shared" si="86"/>
        <v>263.76100000000002</v>
      </c>
      <c r="AV73" s="544" t="s">
        <v>750</v>
      </c>
      <c r="AW73" s="545">
        <v>314160</v>
      </c>
      <c r="AX73" s="545">
        <v>314160</v>
      </c>
      <c r="AY73" s="545">
        <v>314160</v>
      </c>
      <c r="AZ73" s="545">
        <v>0</v>
      </c>
      <c r="BA73" s="546">
        <f t="shared" si="87"/>
        <v>314.16000000000003</v>
      </c>
      <c r="BB73" s="546">
        <f t="shared" si="88"/>
        <v>314.16000000000003</v>
      </c>
      <c r="BC73" s="546">
        <f t="shared" si="89"/>
        <v>314.16000000000003</v>
      </c>
      <c r="BD73" s="546">
        <f t="shared" si="90"/>
        <v>0</v>
      </c>
      <c r="BG73" s="544" t="s">
        <v>392</v>
      </c>
      <c r="BH73" s="545">
        <v>58000347</v>
      </c>
      <c r="BI73" s="545">
        <f t="shared" si="91"/>
        <v>58000.347000000002</v>
      </c>
      <c r="BK73" s="544" t="s">
        <v>369</v>
      </c>
      <c r="BL73" s="545">
        <v>159045</v>
      </c>
      <c r="BM73" s="545">
        <v>159040</v>
      </c>
      <c r="BN73" s="545">
        <v>159045</v>
      </c>
      <c r="BO73" s="545">
        <v>0</v>
      </c>
      <c r="BP73" s="545">
        <f t="shared" si="92"/>
        <v>159.04499999999999</v>
      </c>
      <c r="BQ73" s="545">
        <f t="shared" si="93"/>
        <v>159.04</v>
      </c>
      <c r="BR73" s="545">
        <f t="shared" si="94"/>
        <v>159.04499999999999</v>
      </c>
      <c r="BS73" s="545">
        <f t="shared" si="95"/>
        <v>0</v>
      </c>
      <c r="BV73" s="544" t="s">
        <v>561</v>
      </c>
      <c r="BW73" s="545">
        <v>796941</v>
      </c>
      <c r="BX73" s="546">
        <f t="shared" si="96"/>
        <v>796.94100000000003</v>
      </c>
      <c r="BZ73" s="544" t="s">
        <v>369</v>
      </c>
      <c r="CA73" s="545">
        <v>159045</v>
      </c>
      <c r="CB73" s="545">
        <v>159040</v>
      </c>
      <c r="CC73" s="545">
        <v>159045</v>
      </c>
      <c r="CD73" s="545">
        <v>0</v>
      </c>
      <c r="CE73" s="545">
        <f t="shared" si="97"/>
        <v>159.04499999999999</v>
      </c>
      <c r="CF73" s="545">
        <f t="shared" si="98"/>
        <v>159.04</v>
      </c>
      <c r="CG73" s="545">
        <f t="shared" si="99"/>
        <v>159.04499999999999</v>
      </c>
      <c r="CH73" s="545">
        <f t="shared" si="100"/>
        <v>0</v>
      </c>
      <c r="CK73" s="547" t="s">
        <v>560</v>
      </c>
      <c r="CL73" s="546">
        <v>2126800</v>
      </c>
      <c r="CM73" s="546">
        <f t="shared" si="101"/>
        <v>2126.8000000000002</v>
      </c>
      <c r="CP73" s="547" t="s">
        <v>369</v>
      </c>
      <c r="CQ73" s="546">
        <v>159045</v>
      </c>
      <c r="CR73" s="546">
        <v>159040</v>
      </c>
      <c r="CS73" s="546">
        <v>159045</v>
      </c>
      <c r="CT73" s="546">
        <v>0</v>
      </c>
      <c r="CU73" s="546">
        <f t="shared" si="68"/>
        <v>159.04499999999999</v>
      </c>
      <c r="CV73" s="546">
        <f t="shared" si="69"/>
        <v>159.04</v>
      </c>
      <c r="CW73" s="546">
        <f t="shared" si="70"/>
        <v>159.04499999999999</v>
      </c>
      <c r="CX73" s="546">
        <f t="shared" si="71"/>
        <v>0</v>
      </c>
      <c r="CZ73" s="547" t="s">
        <v>381</v>
      </c>
      <c r="DA73" s="546">
        <v>4399802</v>
      </c>
      <c r="DB73" s="546">
        <f t="shared" si="102"/>
        <v>4399.8019999999997</v>
      </c>
      <c r="DE73" s="544" t="s">
        <v>369</v>
      </c>
      <c r="DF73" s="545">
        <v>159045</v>
      </c>
      <c r="DG73" s="545">
        <v>159040</v>
      </c>
      <c r="DH73" s="545">
        <v>159040</v>
      </c>
      <c r="DI73" s="545">
        <v>5</v>
      </c>
      <c r="DJ73" s="546">
        <f t="shared" si="103"/>
        <v>159.04499999999999</v>
      </c>
      <c r="DK73" s="546">
        <f t="shared" si="104"/>
        <v>159.04</v>
      </c>
      <c r="DL73" s="546">
        <f t="shared" si="105"/>
        <v>159.04</v>
      </c>
      <c r="DM73" s="546">
        <f t="shared" si="106"/>
        <v>5.0000000000000001E-3</v>
      </c>
      <c r="DP73" s="544" t="s">
        <v>384</v>
      </c>
      <c r="DQ73" s="545">
        <v>64439666</v>
      </c>
      <c r="DR73" s="546">
        <f t="shared" si="107"/>
        <v>64439.665999999997</v>
      </c>
      <c r="DT73" s="544" t="s">
        <v>369</v>
      </c>
      <c r="DU73" s="545">
        <v>159045</v>
      </c>
      <c r="DV73" s="545">
        <v>159040</v>
      </c>
      <c r="DW73" s="545">
        <v>159040</v>
      </c>
      <c r="DX73" s="545">
        <v>5</v>
      </c>
      <c r="DY73" s="546">
        <f t="shared" si="108"/>
        <v>159.04499999999999</v>
      </c>
      <c r="DZ73" s="546">
        <f t="shared" si="109"/>
        <v>159.04</v>
      </c>
      <c r="EA73" s="546">
        <f t="shared" si="110"/>
        <v>159.04</v>
      </c>
      <c r="EB73" s="546">
        <f t="shared" si="111"/>
        <v>5.0000000000000001E-3</v>
      </c>
      <c r="EE73" s="547" t="s">
        <v>384</v>
      </c>
      <c r="EF73" s="546">
        <v>1838707</v>
      </c>
      <c r="EG73" s="548">
        <f t="shared" si="112"/>
        <v>1838.7070000000001</v>
      </c>
      <c r="EI73" s="547" t="s">
        <v>368</v>
      </c>
      <c r="EJ73" s="546">
        <v>5629536</v>
      </c>
      <c r="EK73" s="546">
        <v>5627110</v>
      </c>
      <c r="EL73" s="546">
        <v>4454716</v>
      </c>
      <c r="EM73" s="548">
        <f t="shared" si="113"/>
        <v>5629.5360000000001</v>
      </c>
      <c r="EN73" s="548">
        <f t="shared" si="114"/>
        <v>5627.11</v>
      </c>
      <c r="EO73" s="548">
        <f t="shared" si="115"/>
        <v>4454.7160000000003</v>
      </c>
      <c r="ER73" s="544" t="s">
        <v>565</v>
      </c>
      <c r="ES73" s="545">
        <v>16122639</v>
      </c>
      <c r="ET73" s="546">
        <f t="shared" si="116"/>
        <v>16122.638999999999</v>
      </c>
      <c r="EW73" s="544" t="s">
        <v>368</v>
      </c>
      <c r="EX73" s="545">
        <v>0</v>
      </c>
      <c r="EY73" s="545">
        <v>12329190</v>
      </c>
      <c r="EZ73" s="545">
        <v>12329190</v>
      </c>
      <c r="FA73" s="545">
        <v>12329190</v>
      </c>
      <c r="FB73" s="545">
        <v>0</v>
      </c>
      <c r="FC73" s="546">
        <f t="shared" si="117"/>
        <v>0</v>
      </c>
      <c r="FD73" s="546">
        <f t="shared" si="118"/>
        <v>12329.19</v>
      </c>
      <c r="FE73" s="546">
        <f t="shared" si="119"/>
        <v>12329.19</v>
      </c>
      <c r="FF73" s="546">
        <f t="shared" si="120"/>
        <v>12329.19</v>
      </c>
      <c r="FG73" s="546">
        <f t="shared" si="121"/>
        <v>0</v>
      </c>
      <c r="FJ73" s="547" t="s">
        <v>374</v>
      </c>
      <c r="FK73" s="546">
        <v>1297624</v>
      </c>
      <c r="FL73" s="548">
        <f t="shared" si="122"/>
        <v>1297.624</v>
      </c>
      <c r="FN73" s="549" t="s">
        <v>368</v>
      </c>
      <c r="FO73" s="550">
        <v>13774159</v>
      </c>
      <c r="FP73" s="550">
        <v>13774159</v>
      </c>
      <c r="FQ73" s="550">
        <v>13774159</v>
      </c>
      <c r="FR73" s="550">
        <f t="shared" si="123"/>
        <v>13774.159</v>
      </c>
      <c r="FS73" s="550">
        <f t="shared" si="124"/>
        <v>13774.159</v>
      </c>
      <c r="FT73" s="550">
        <f t="shared" si="125"/>
        <v>13774.159</v>
      </c>
    </row>
    <row r="74" spans="1:176" ht="15" customHeight="1" x14ac:dyDescent="0.25">
      <c r="A74" s="890" t="s">
        <v>889</v>
      </c>
      <c r="B74" s="544" t="s">
        <v>370</v>
      </c>
      <c r="C74" s="545">
        <v>0</v>
      </c>
      <c r="D74" s="545">
        <v>15000000</v>
      </c>
      <c r="E74" s="545">
        <v>0</v>
      </c>
      <c r="F74" s="545">
        <v>15000000</v>
      </c>
      <c r="G74" s="545">
        <v>0</v>
      </c>
      <c r="H74" s="546">
        <f t="shared" si="72"/>
        <v>15630</v>
      </c>
      <c r="I74" s="546">
        <f t="shared" si="73"/>
        <v>0</v>
      </c>
      <c r="J74" s="546">
        <f t="shared" si="74"/>
        <v>15630</v>
      </c>
      <c r="K74" s="546">
        <f t="shared" si="75"/>
        <v>0</v>
      </c>
      <c r="O74" s="544" t="s">
        <v>572</v>
      </c>
      <c r="P74" s="545">
        <v>273695</v>
      </c>
      <c r="Q74" s="546">
        <f t="shared" si="76"/>
        <v>285.19019000000003</v>
      </c>
      <c r="S74" s="544" t="s">
        <v>370</v>
      </c>
      <c r="T74" s="545">
        <v>15000000</v>
      </c>
      <c r="U74" s="545">
        <v>0</v>
      </c>
      <c r="V74" s="545">
        <v>2188124</v>
      </c>
      <c r="W74" s="545">
        <v>12811876</v>
      </c>
      <c r="X74" s="546">
        <f t="shared" si="77"/>
        <v>15630</v>
      </c>
      <c r="Y74" s="546">
        <f t="shared" si="78"/>
        <v>0</v>
      </c>
      <c r="Z74" s="546">
        <f t="shared" si="79"/>
        <v>2280.025208</v>
      </c>
      <c r="AA74" s="546">
        <f t="shared" si="80"/>
        <v>13349.974792000001</v>
      </c>
      <c r="AC74" s="544" t="s">
        <v>384</v>
      </c>
      <c r="AD74" s="545">
        <v>1848367</v>
      </c>
      <c r="AE74" s="546">
        <f t="shared" si="81"/>
        <v>1848.367</v>
      </c>
      <c r="AG74" s="544" t="s">
        <v>553</v>
      </c>
      <c r="AH74" s="545">
        <v>685840</v>
      </c>
      <c r="AI74" s="545">
        <v>0</v>
      </c>
      <c r="AJ74" s="545">
        <v>0</v>
      </c>
      <c r="AK74" s="545">
        <v>685840</v>
      </c>
      <c r="AL74" s="545">
        <f t="shared" si="82"/>
        <v>685.84</v>
      </c>
      <c r="AM74" s="545">
        <f t="shared" si="83"/>
        <v>0</v>
      </c>
      <c r="AN74" s="545">
        <f t="shared" si="84"/>
        <v>0</v>
      </c>
      <c r="AO74" s="545">
        <f t="shared" si="85"/>
        <v>685.84</v>
      </c>
      <c r="AR74" s="544" t="s">
        <v>388</v>
      </c>
      <c r="AS74" s="545">
        <v>14698509</v>
      </c>
      <c r="AT74" s="545">
        <f t="shared" si="86"/>
        <v>14698.509</v>
      </c>
      <c r="AV74" s="544" t="s">
        <v>553</v>
      </c>
      <c r="AW74" s="545">
        <v>639722</v>
      </c>
      <c r="AX74" s="545">
        <v>0</v>
      </c>
      <c r="AY74" s="545">
        <v>0</v>
      </c>
      <c r="AZ74" s="545">
        <v>639722</v>
      </c>
      <c r="BA74" s="546">
        <f t="shared" si="87"/>
        <v>639.72199999999998</v>
      </c>
      <c r="BB74" s="546">
        <f t="shared" si="88"/>
        <v>0</v>
      </c>
      <c r="BC74" s="546">
        <f t="shared" si="89"/>
        <v>0</v>
      </c>
      <c r="BD74" s="546">
        <f t="shared" si="90"/>
        <v>639.72199999999998</v>
      </c>
      <c r="BG74" s="544" t="s">
        <v>394</v>
      </c>
      <c r="BH74" s="545">
        <v>53836754</v>
      </c>
      <c r="BI74" s="545">
        <f t="shared" si="91"/>
        <v>53836.754000000001</v>
      </c>
      <c r="BK74" s="544" t="s">
        <v>750</v>
      </c>
      <c r="BL74" s="545">
        <v>314160</v>
      </c>
      <c r="BM74" s="545">
        <v>314160</v>
      </c>
      <c r="BN74" s="545">
        <v>314160</v>
      </c>
      <c r="BO74" s="545">
        <v>0</v>
      </c>
      <c r="BP74" s="545">
        <f t="shared" si="92"/>
        <v>314.16000000000003</v>
      </c>
      <c r="BQ74" s="545">
        <f t="shared" si="93"/>
        <v>314.16000000000003</v>
      </c>
      <c r="BR74" s="545">
        <f t="shared" si="94"/>
        <v>314.16000000000003</v>
      </c>
      <c r="BS74" s="545">
        <f t="shared" si="95"/>
        <v>0</v>
      </c>
      <c r="BV74" s="544" t="s">
        <v>564</v>
      </c>
      <c r="BW74" s="545">
        <v>543491</v>
      </c>
      <c r="BX74" s="546">
        <f t="shared" si="96"/>
        <v>543.49099999999999</v>
      </c>
      <c r="BZ74" s="544" t="s">
        <v>750</v>
      </c>
      <c r="CA74" s="545">
        <v>314160</v>
      </c>
      <c r="CB74" s="545">
        <v>314160</v>
      </c>
      <c r="CC74" s="545">
        <v>314160</v>
      </c>
      <c r="CD74" s="545">
        <v>0</v>
      </c>
      <c r="CE74" s="545">
        <f t="shared" si="97"/>
        <v>314.16000000000003</v>
      </c>
      <c r="CF74" s="545">
        <f t="shared" si="98"/>
        <v>314.16000000000003</v>
      </c>
      <c r="CG74" s="545">
        <f t="shared" si="99"/>
        <v>314.16000000000003</v>
      </c>
      <c r="CH74" s="545">
        <f t="shared" si="100"/>
        <v>0</v>
      </c>
      <c r="CK74" s="547" t="s">
        <v>561</v>
      </c>
      <c r="CL74" s="546">
        <v>1381662</v>
      </c>
      <c r="CM74" s="546">
        <f t="shared" si="101"/>
        <v>1381.662</v>
      </c>
      <c r="CP74" s="547" t="s">
        <v>750</v>
      </c>
      <c r="CQ74" s="546">
        <v>314160</v>
      </c>
      <c r="CR74" s="546">
        <v>314160</v>
      </c>
      <c r="CS74" s="546">
        <v>314160</v>
      </c>
      <c r="CT74" s="546">
        <v>0</v>
      </c>
      <c r="CU74" s="546">
        <f t="shared" si="68"/>
        <v>314.16000000000003</v>
      </c>
      <c r="CV74" s="546">
        <f t="shared" si="69"/>
        <v>314.16000000000003</v>
      </c>
      <c r="CW74" s="546">
        <f t="shared" si="70"/>
        <v>314.16000000000003</v>
      </c>
      <c r="CX74" s="546">
        <f t="shared" si="71"/>
        <v>0</v>
      </c>
      <c r="CZ74" s="547" t="s">
        <v>560</v>
      </c>
      <c r="DA74" s="546">
        <v>1404200</v>
      </c>
      <c r="DB74" s="546">
        <f t="shared" si="102"/>
        <v>1404.2</v>
      </c>
      <c r="DE74" s="544" t="s">
        <v>750</v>
      </c>
      <c r="DF74" s="545">
        <v>314160</v>
      </c>
      <c r="DG74" s="545">
        <v>314160</v>
      </c>
      <c r="DH74" s="545">
        <v>314160</v>
      </c>
      <c r="DI74" s="545">
        <v>0</v>
      </c>
      <c r="DJ74" s="546">
        <f t="shared" si="103"/>
        <v>314.16000000000003</v>
      </c>
      <c r="DK74" s="546">
        <f t="shared" si="104"/>
        <v>314.16000000000003</v>
      </c>
      <c r="DL74" s="546">
        <f t="shared" si="105"/>
        <v>314.16000000000003</v>
      </c>
      <c r="DM74" s="546">
        <f t="shared" si="106"/>
        <v>0</v>
      </c>
      <c r="DP74" s="544" t="s">
        <v>385</v>
      </c>
      <c r="DQ74" s="545">
        <v>1054340</v>
      </c>
      <c r="DR74" s="546">
        <f t="shared" si="107"/>
        <v>1054.3399999999999</v>
      </c>
      <c r="DT74" s="544" t="s">
        <v>750</v>
      </c>
      <c r="DU74" s="545">
        <v>314160</v>
      </c>
      <c r="DV74" s="545">
        <v>314160</v>
      </c>
      <c r="DW74" s="545">
        <v>314160</v>
      </c>
      <c r="DX74" s="545">
        <v>0</v>
      </c>
      <c r="DY74" s="546">
        <f t="shared" si="108"/>
        <v>314.16000000000003</v>
      </c>
      <c r="DZ74" s="546">
        <f t="shared" si="109"/>
        <v>314.16000000000003</v>
      </c>
      <c r="EA74" s="546">
        <f t="shared" si="110"/>
        <v>314.16000000000003</v>
      </c>
      <c r="EB74" s="546">
        <f t="shared" si="111"/>
        <v>0</v>
      </c>
      <c r="EE74" s="547" t="s">
        <v>386</v>
      </c>
      <c r="EF74" s="546">
        <v>83266029</v>
      </c>
      <c r="EG74" s="548">
        <f t="shared" si="112"/>
        <v>83266.028999999995</v>
      </c>
      <c r="EI74" s="547" t="s">
        <v>369</v>
      </c>
      <c r="EJ74" s="546">
        <v>159045</v>
      </c>
      <c r="EK74" s="546">
        <v>159040</v>
      </c>
      <c r="EL74" s="546">
        <v>159040</v>
      </c>
      <c r="EM74" s="548">
        <f t="shared" si="113"/>
        <v>159.04499999999999</v>
      </c>
      <c r="EN74" s="548">
        <f t="shared" si="114"/>
        <v>159.04</v>
      </c>
      <c r="EO74" s="548">
        <f t="shared" si="115"/>
        <v>159.04</v>
      </c>
      <c r="ER74" s="544" t="s">
        <v>566</v>
      </c>
      <c r="ES74" s="545">
        <v>6584995</v>
      </c>
      <c r="ET74" s="546">
        <f t="shared" si="116"/>
        <v>6584.9949999999999</v>
      </c>
      <c r="EW74" s="544" t="s">
        <v>369</v>
      </c>
      <c r="EX74" s="545">
        <v>0</v>
      </c>
      <c r="EY74" s="545">
        <v>159040</v>
      </c>
      <c r="EZ74" s="545">
        <v>159040</v>
      </c>
      <c r="FA74" s="545">
        <v>159040</v>
      </c>
      <c r="FB74" s="545">
        <v>0</v>
      </c>
      <c r="FC74" s="546">
        <f t="shared" si="117"/>
        <v>0</v>
      </c>
      <c r="FD74" s="546">
        <f t="shared" si="118"/>
        <v>159.04</v>
      </c>
      <c r="FE74" s="546">
        <f t="shared" si="119"/>
        <v>159.04</v>
      </c>
      <c r="FF74" s="546">
        <f t="shared" si="120"/>
        <v>159.04</v>
      </c>
      <c r="FG74" s="546">
        <f t="shared" si="121"/>
        <v>0</v>
      </c>
      <c r="FJ74" s="547" t="s">
        <v>375</v>
      </c>
      <c r="FK74" s="546">
        <v>2056604</v>
      </c>
      <c r="FL74" s="548">
        <f t="shared" si="122"/>
        <v>2056.6039999999998</v>
      </c>
      <c r="FN74" s="549" t="s">
        <v>992</v>
      </c>
      <c r="FO74" s="550">
        <v>391075</v>
      </c>
      <c r="FP74" s="550">
        <v>0</v>
      </c>
      <c r="FQ74" s="550">
        <v>0</v>
      </c>
      <c r="FR74" s="550">
        <f t="shared" si="123"/>
        <v>391.07499999999999</v>
      </c>
      <c r="FS74" s="550">
        <f t="shared" si="124"/>
        <v>0</v>
      </c>
      <c r="FT74" s="550">
        <f t="shared" si="125"/>
        <v>0</v>
      </c>
    </row>
    <row r="75" spans="1:176" ht="15" customHeight="1" x14ac:dyDescent="0.25">
      <c r="A75" s="890" t="s">
        <v>889</v>
      </c>
      <c r="B75" s="544" t="s">
        <v>555</v>
      </c>
      <c r="C75" s="545">
        <v>0</v>
      </c>
      <c r="D75" s="545">
        <v>10075000</v>
      </c>
      <c r="E75" s="545">
        <v>78718</v>
      </c>
      <c r="F75" s="545">
        <v>9996282</v>
      </c>
      <c r="G75" s="545">
        <v>0</v>
      </c>
      <c r="H75" s="546">
        <f t="shared" si="72"/>
        <v>10498.15</v>
      </c>
      <c r="I75" s="546">
        <f t="shared" si="73"/>
        <v>82.024156000000005</v>
      </c>
      <c r="J75" s="546">
        <f t="shared" si="74"/>
        <v>10416.125844</v>
      </c>
      <c r="K75" s="546">
        <f t="shared" si="75"/>
        <v>0</v>
      </c>
      <c r="O75" s="544" t="s">
        <v>396</v>
      </c>
      <c r="P75" s="545">
        <v>273695</v>
      </c>
      <c r="Q75" s="546">
        <f t="shared" si="76"/>
        <v>285.19019000000003</v>
      </c>
      <c r="S75" s="544" t="s">
        <v>555</v>
      </c>
      <c r="T75" s="545">
        <v>10075000</v>
      </c>
      <c r="U75" s="545">
        <v>78717</v>
      </c>
      <c r="V75" s="545">
        <v>78718</v>
      </c>
      <c r="W75" s="545">
        <v>9996282</v>
      </c>
      <c r="X75" s="546">
        <f t="shared" si="77"/>
        <v>10498.15</v>
      </c>
      <c r="Y75" s="546">
        <f t="shared" si="78"/>
        <v>82.023114000000007</v>
      </c>
      <c r="Z75" s="546">
        <f t="shared" si="79"/>
        <v>82.024156000000005</v>
      </c>
      <c r="AA75" s="546">
        <f t="shared" si="80"/>
        <v>10416.125844</v>
      </c>
      <c r="AC75" s="544" t="s">
        <v>385</v>
      </c>
      <c r="AD75" s="545">
        <v>581231</v>
      </c>
      <c r="AE75" s="546">
        <f t="shared" si="81"/>
        <v>581.23099999999999</v>
      </c>
      <c r="AG75" s="544" t="s">
        <v>370</v>
      </c>
      <c r="AH75" s="545">
        <v>15000000</v>
      </c>
      <c r="AI75" s="545">
        <v>3199851</v>
      </c>
      <c r="AJ75" s="545">
        <v>5387975</v>
      </c>
      <c r="AK75" s="545">
        <v>9612025</v>
      </c>
      <c r="AL75" s="545">
        <f t="shared" si="82"/>
        <v>15000</v>
      </c>
      <c r="AM75" s="545">
        <f t="shared" si="83"/>
        <v>3199.8510000000001</v>
      </c>
      <c r="AN75" s="545">
        <f t="shared" si="84"/>
        <v>5387.9750000000004</v>
      </c>
      <c r="AO75" s="545">
        <f t="shared" si="85"/>
        <v>9612.0249999999996</v>
      </c>
      <c r="AR75" s="544" t="s">
        <v>389</v>
      </c>
      <c r="AS75" s="545">
        <v>57863687</v>
      </c>
      <c r="AT75" s="545">
        <f t="shared" si="86"/>
        <v>57863.686999999998</v>
      </c>
      <c r="AV75" s="544" t="s">
        <v>370</v>
      </c>
      <c r="AW75" s="545">
        <v>15000000</v>
      </c>
      <c r="AX75" s="545">
        <v>3199851</v>
      </c>
      <c r="AY75" s="545">
        <v>5387975</v>
      </c>
      <c r="AZ75" s="545">
        <v>9612025</v>
      </c>
      <c r="BA75" s="546">
        <f t="shared" si="87"/>
        <v>15000</v>
      </c>
      <c r="BB75" s="546">
        <f t="shared" si="88"/>
        <v>3199.8510000000001</v>
      </c>
      <c r="BC75" s="546">
        <f t="shared" si="89"/>
        <v>5387.9750000000004</v>
      </c>
      <c r="BD75" s="546">
        <f t="shared" si="90"/>
        <v>9612.0249999999996</v>
      </c>
      <c r="BG75" s="544" t="s">
        <v>572</v>
      </c>
      <c r="BH75" s="545">
        <v>799021</v>
      </c>
      <c r="BI75" s="545">
        <f t="shared" si="91"/>
        <v>799.02099999999996</v>
      </c>
      <c r="BK75" s="544" t="s">
        <v>553</v>
      </c>
      <c r="BL75" s="545">
        <v>639722</v>
      </c>
      <c r="BM75" s="545">
        <v>0</v>
      </c>
      <c r="BN75" s="545">
        <v>0</v>
      </c>
      <c r="BO75" s="545">
        <v>639722</v>
      </c>
      <c r="BP75" s="545">
        <f t="shared" si="92"/>
        <v>639.72199999999998</v>
      </c>
      <c r="BQ75" s="545">
        <f t="shared" si="93"/>
        <v>0</v>
      </c>
      <c r="BR75" s="545">
        <f t="shared" si="94"/>
        <v>0</v>
      </c>
      <c r="BS75" s="545">
        <f t="shared" si="95"/>
        <v>639.72199999999998</v>
      </c>
      <c r="BV75" s="544" t="s">
        <v>383</v>
      </c>
      <c r="BW75" s="545">
        <v>116766</v>
      </c>
      <c r="BX75" s="546">
        <f t="shared" si="96"/>
        <v>116.76600000000001</v>
      </c>
      <c r="BZ75" s="544" t="s">
        <v>553</v>
      </c>
      <c r="CA75" s="545">
        <v>639722</v>
      </c>
      <c r="CB75" s="545">
        <v>0</v>
      </c>
      <c r="CC75" s="545">
        <v>0</v>
      </c>
      <c r="CD75" s="545">
        <v>639722</v>
      </c>
      <c r="CE75" s="545">
        <f t="shared" si="97"/>
        <v>639.72199999999998</v>
      </c>
      <c r="CF75" s="545">
        <f t="shared" si="98"/>
        <v>0</v>
      </c>
      <c r="CG75" s="545">
        <f t="shared" si="99"/>
        <v>0</v>
      </c>
      <c r="CH75" s="545">
        <f t="shared" si="100"/>
        <v>639.72199999999998</v>
      </c>
      <c r="CK75" s="547" t="s">
        <v>383</v>
      </c>
      <c r="CL75" s="546">
        <v>34807763</v>
      </c>
      <c r="CM75" s="546">
        <f t="shared" si="101"/>
        <v>34807.762999999999</v>
      </c>
      <c r="CP75" s="547" t="s">
        <v>553</v>
      </c>
      <c r="CQ75" s="546">
        <v>639722</v>
      </c>
      <c r="CR75" s="546">
        <v>0</v>
      </c>
      <c r="CS75" s="546">
        <v>0</v>
      </c>
      <c r="CT75" s="546">
        <v>639722</v>
      </c>
      <c r="CU75" s="546">
        <f t="shared" si="68"/>
        <v>639.72199999999998</v>
      </c>
      <c r="CV75" s="546">
        <f t="shared" si="69"/>
        <v>0</v>
      </c>
      <c r="CW75" s="546">
        <f t="shared" si="70"/>
        <v>0</v>
      </c>
      <c r="CX75" s="546">
        <f t="shared" si="71"/>
        <v>639.72199999999998</v>
      </c>
      <c r="CZ75" s="547" t="s">
        <v>561</v>
      </c>
      <c r="DA75" s="546">
        <v>1937536</v>
      </c>
      <c r="DB75" s="546">
        <f t="shared" si="102"/>
        <v>1937.5360000000001</v>
      </c>
      <c r="DE75" s="544" t="s">
        <v>553</v>
      </c>
      <c r="DF75" s="545">
        <v>639722</v>
      </c>
      <c r="DG75" s="545">
        <v>0</v>
      </c>
      <c r="DH75" s="545">
        <v>0</v>
      </c>
      <c r="DI75" s="545">
        <v>639722</v>
      </c>
      <c r="DJ75" s="546">
        <f t="shared" si="103"/>
        <v>639.72199999999998</v>
      </c>
      <c r="DK75" s="546">
        <f t="shared" si="104"/>
        <v>0</v>
      </c>
      <c r="DL75" s="546">
        <f t="shared" si="105"/>
        <v>0</v>
      </c>
      <c r="DM75" s="546">
        <f t="shared" si="106"/>
        <v>639.72199999999998</v>
      </c>
      <c r="DP75" s="544" t="s">
        <v>386</v>
      </c>
      <c r="DQ75" s="545">
        <v>29949193</v>
      </c>
      <c r="DR75" s="546">
        <f t="shared" si="107"/>
        <v>29949.192999999999</v>
      </c>
      <c r="DT75" s="544" t="s">
        <v>553</v>
      </c>
      <c r="DU75" s="545">
        <v>639722</v>
      </c>
      <c r="DV75" s="545">
        <v>0</v>
      </c>
      <c r="DW75" s="545">
        <v>0</v>
      </c>
      <c r="DX75" s="545">
        <v>639722</v>
      </c>
      <c r="DY75" s="546">
        <f t="shared" si="108"/>
        <v>639.72199999999998</v>
      </c>
      <c r="DZ75" s="546">
        <f t="shared" si="109"/>
        <v>0</v>
      </c>
      <c r="EA75" s="546">
        <f t="shared" si="110"/>
        <v>0</v>
      </c>
      <c r="EB75" s="546">
        <f t="shared" si="111"/>
        <v>639.72199999999998</v>
      </c>
      <c r="EE75" s="547" t="s">
        <v>387</v>
      </c>
      <c r="EF75" s="546">
        <v>7206260</v>
      </c>
      <c r="EG75" s="548">
        <f t="shared" si="112"/>
        <v>7206.26</v>
      </c>
      <c r="EI75" s="547" t="s">
        <v>750</v>
      </c>
      <c r="EJ75" s="546">
        <v>314160</v>
      </c>
      <c r="EK75" s="546">
        <v>314160</v>
      </c>
      <c r="EL75" s="546">
        <v>314160</v>
      </c>
      <c r="EM75" s="548">
        <f t="shared" si="113"/>
        <v>314.16000000000003</v>
      </c>
      <c r="EN75" s="548">
        <f t="shared" si="114"/>
        <v>314.16000000000003</v>
      </c>
      <c r="EO75" s="548">
        <f t="shared" si="115"/>
        <v>314.16000000000003</v>
      </c>
      <c r="ER75" s="544" t="s">
        <v>388</v>
      </c>
      <c r="ES75" s="545">
        <v>99876508</v>
      </c>
      <c r="ET75" s="546">
        <f t="shared" si="116"/>
        <v>99876.508000000002</v>
      </c>
      <c r="EW75" s="544" t="s">
        <v>750</v>
      </c>
      <c r="EX75" s="545">
        <v>0</v>
      </c>
      <c r="EY75" s="545">
        <v>969731</v>
      </c>
      <c r="EZ75" s="545">
        <v>314160</v>
      </c>
      <c r="FA75" s="545">
        <v>314160</v>
      </c>
      <c r="FB75" s="545">
        <v>655571</v>
      </c>
      <c r="FC75" s="546">
        <f t="shared" si="117"/>
        <v>0</v>
      </c>
      <c r="FD75" s="546">
        <f t="shared" si="118"/>
        <v>969.73099999999999</v>
      </c>
      <c r="FE75" s="546">
        <f t="shared" si="119"/>
        <v>314.16000000000003</v>
      </c>
      <c r="FF75" s="546">
        <f t="shared" si="120"/>
        <v>314.16000000000003</v>
      </c>
      <c r="FG75" s="546">
        <f t="shared" si="121"/>
        <v>655.57100000000003</v>
      </c>
      <c r="FJ75" s="547" t="s">
        <v>376</v>
      </c>
      <c r="FK75" s="546">
        <v>174200</v>
      </c>
      <c r="FL75" s="548">
        <f t="shared" si="122"/>
        <v>174.2</v>
      </c>
      <c r="FN75" s="549" t="s">
        <v>369</v>
      </c>
      <c r="FO75" s="550">
        <v>159040</v>
      </c>
      <c r="FP75" s="550">
        <v>159040</v>
      </c>
      <c r="FQ75" s="550">
        <v>159040</v>
      </c>
      <c r="FR75" s="550">
        <f t="shared" si="123"/>
        <v>159.04</v>
      </c>
      <c r="FS75" s="550">
        <f t="shared" si="124"/>
        <v>159.04</v>
      </c>
      <c r="FT75" s="550">
        <f t="shared" si="125"/>
        <v>159.04</v>
      </c>
    </row>
    <row r="76" spans="1:176" ht="15" customHeight="1" x14ac:dyDescent="0.25">
      <c r="A76" s="890" t="s">
        <v>889</v>
      </c>
      <c r="B76" s="544" t="s">
        <v>556</v>
      </c>
      <c r="C76" s="545">
        <v>0</v>
      </c>
      <c r="D76" s="545">
        <v>10000000</v>
      </c>
      <c r="E76" s="545">
        <v>0</v>
      </c>
      <c r="F76" s="545">
        <v>10000000</v>
      </c>
      <c r="G76" s="545">
        <v>0</v>
      </c>
      <c r="H76" s="546">
        <f t="shared" si="72"/>
        <v>10420</v>
      </c>
      <c r="I76" s="546">
        <f t="shared" si="73"/>
        <v>0</v>
      </c>
      <c r="J76" s="546">
        <f t="shared" si="74"/>
        <v>10420</v>
      </c>
      <c r="K76" s="546">
        <f t="shared" si="75"/>
        <v>0</v>
      </c>
      <c r="O76" s="544" t="s">
        <v>398</v>
      </c>
      <c r="P76" s="545">
        <v>4036533</v>
      </c>
      <c r="Q76" s="546">
        <f t="shared" si="76"/>
        <v>4206.0673859999997</v>
      </c>
      <c r="S76" s="544" t="s">
        <v>556</v>
      </c>
      <c r="T76" s="545">
        <v>1500000</v>
      </c>
      <c r="U76" s="545">
        <v>0</v>
      </c>
      <c r="V76" s="545">
        <v>0</v>
      </c>
      <c r="W76" s="545">
        <v>1500000</v>
      </c>
      <c r="X76" s="546">
        <f t="shared" si="77"/>
        <v>1563</v>
      </c>
      <c r="Y76" s="546">
        <f t="shared" si="78"/>
        <v>0</v>
      </c>
      <c r="Z76" s="546">
        <f t="shared" si="79"/>
        <v>0</v>
      </c>
      <c r="AA76" s="546">
        <f t="shared" si="80"/>
        <v>1563</v>
      </c>
      <c r="AC76" s="544" t="s">
        <v>386</v>
      </c>
      <c r="AD76" s="545">
        <v>38229708</v>
      </c>
      <c r="AE76" s="546">
        <f t="shared" si="81"/>
        <v>38229.707999999999</v>
      </c>
      <c r="AG76" s="544" t="s">
        <v>555</v>
      </c>
      <c r="AH76" s="545">
        <v>10075000</v>
      </c>
      <c r="AI76" s="545">
        <v>1156130</v>
      </c>
      <c r="AJ76" s="545">
        <v>1156131</v>
      </c>
      <c r="AK76" s="545">
        <v>8918869</v>
      </c>
      <c r="AL76" s="545">
        <f t="shared" si="82"/>
        <v>10075</v>
      </c>
      <c r="AM76" s="545">
        <f t="shared" si="83"/>
        <v>1156.1300000000001</v>
      </c>
      <c r="AN76" s="545">
        <f t="shared" si="84"/>
        <v>1156.1310000000001</v>
      </c>
      <c r="AO76" s="545">
        <f t="shared" si="85"/>
        <v>8918.8690000000006</v>
      </c>
      <c r="AR76" s="544" t="s">
        <v>390</v>
      </c>
      <c r="AS76" s="545">
        <v>33780290</v>
      </c>
      <c r="AT76" s="545">
        <f t="shared" si="86"/>
        <v>33780.29</v>
      </c>
      <c r="AV76" s="544" t="s">
        <v>555</v>
      </c>
      <c r="AW76" s="545">
        <v>10075000</v>
      </c>
      <c r="AX76" s="545">
        <v>1289410</v>
      </c>
      <c r="AY76" s="545">
        <v>2650771</v>
      </c>
      <c r="AZ76" s="545">
        <v>7424229</v>
      </c>
      <c r="BA76" s="546">
        <f t="shared" si="87"/>
        <v>10075</v>
      </c>
      <c r="BB76" s="546">
        <f t="shared" si="88"/>
        <v>1289.4100000000001</v>
      </c>
      <c r="BC76" s="546">
        <f t="shared" si="89"/>
        <v>2650.7710000000002</v>
      </c>
      <c r="BD76" s="546">
        <f t="shared" si="90"/>
        <v>7424.2290000000003</v>
      </c>
      <c r="BG76" s="544" t="s">
        <v>396</v>
      </c>
      <c r="BH76" s="545">
        <v>598120</v>
      </c>
      <c r="BI76" s="545">
        <f t="shared" si="91"/>
        <v>598.12</v>
      </c>
      <c r="BK76" s="544" t="s">
        <v>370</v>
      </c>
      <c r="BL76" s="545">
        <v>15000000</v>
      </c>
      <c r="BM76" s="545">
        <v>3199851</v>
      </c>
      <c r="BN76" s="545">
        <v>8606651</v>
      </c>
      <c r="BO76" s="545">
        <v>6393349</v>
      </c>
      <c r="BP76" s="545">
        <f t="shared" si="92"/>
        <v>15000</v>
      </c>
      <c r="BQ76" s="545">
        <f t="shared" si="93"/>
        <v>3199.8510000000001</v>
      </c>
      <c r="BR76" s="545">
        <f t="shared" si="94"/>
        <v>8606.6509999999998</v>
      </c>
      <c r="BS76" s="545">
        <f t="shared" si="95"/>
        <v>6393.3490000000002</v>
      </c>
      <c r="BV76" s="544" t="s">
        <v>385</v>
      </c>
      <c r="BW76" s="545">
        <v>116766</v>
      </c>
      <c r="BX76" s="546">
        <f t="shared" si="96"/>
        <v>116.76600000000001</v>
      </c>
      <c r="BZ76" s="544" t="s">
        <v>370</v>
      </c>
      <c r="CA76" s="545">
        <v>14556817</v>
      </c>
      <c r="CB76" s="545">
        <v>3199851</v>
      </c>
      <c r="CC76" s="545">
        <v>8606651</v>
      </c>
      <c r="CD76" s="545">
        <v>5950166</v>
      </c>
      <c r="CE76" s="545">
        <f t="shared" si="97"/>
        <v>14556.816999999999</v>
      </c>
      <c r="CF76" s="545">
        <f t="shared" si="98"/>
        <v>3199.8510000000001</v>
      </c>
      <c r="CG76" s="545">
        <f t="shared" si="99"/>
        <v>8606.6509999999998</v>
      </c>
      <c r="CH76" s="545">
        <f t="shared" si="100"/>
        <v>5950.1660000000002</v>
      </c>
      <c r="CK76" s="547" t="s">
        <v>384</v>
      </c>
      <c r="CL76" s="546">
        <v>34698283</v>
      </c>
      <c r="CM76" s="546">
        <f t="shared" si="101"/>
        <v>34698.283000000003</v>
      </c>
      <c r="CP76" s="547" t="s">
        <v>370</v>
      </c>
      <c r="CQ76" s="546">
        <v>17333576</v>
      </c>
      <c r="CR76" s="546">
        <v>6418527</v>
      </c>
      <c r="CS76" s="546">
        <v>17333576</v>
      </c>
      <c r="CT76" s="546">
        <v>0</v>
      </c>
      <c r="CU76" s="546">
        <f t="shared" si="68"/>
        <v>17333.576000000001</v>
      </c>
      <c r="CV76" s="546">
        <f t="shared" si="69"/>
        <v>6418.527</v>
      </c>
      <c r="CW76" s="546">
        <f t="shared" si="70"/>
        <v>17333.576000000001</v>
      </c>
      <c r="CX76" s="546">
        <f t="shared" si="71"/>
        <v>0</v>
      </c>
      <c r="CZ76" s="547" t="s">
        <v>563</v>
      </c>
      <c r="DA76" s="546">
        <v>514575</v>
      </c>
      <c r="DB76" s="546">
        <f t="shared" si="102"/>
        <v>514.57500000000005</v>
      </c>
      <c r="DE76" s="544" t="s">
        <v>370</v>
      </c>
      <c r="DF76" s="545">
        <v>17333576</v>
      </c>
      <c r="DG76" s="545">
        <v>15145452</v>
      </c>
      <c r="DH76" s="545">
        <v>15145452</v>
      </c>
      <c r="DI76" s="545">
        <v>2188124</v>
      </c>
      <c r="DJ76" s="546">
        <f t="shared" si="103"/>
        <v>17333.576000000001</v>
      </c>
      <c r="DK76" s="546">
        <f t="shared" si="104"/>
        <v>15145.451999999999</v>
      </c>
      <c r="DL76" s="546">
        <f t="shared" si="105"/>
        <v>15145.451999999999</v>
      </c>
      <c r="DM76" s="546">
        <f t="shared" si="106"/>
        <v>2188.1239999999998</v>
      </c>
      <c r="DP76" s="544" t="s">
        <v>387</v>
      </c>
      <c r="DQ76" s="545">
        <v>10287043</v>
      </c>
      <c r="DR76" s="546">
        <f t="shared" si="107"/>
        <v>10287.043</v>
      </c>
      <c r="DT76" s="544" t="s">
        <v>370</v>
      </c>
      <c r="DU76" s="545">
        <v>17333576</v>
      </c>
      <c r="DV76" s="545">
        <v>15145452</v>
      </c>
      <c r="DW76" s="545">
        <v>15145452</v>
      </c>
      <c r="DX76" s="545">
        <v>2188124</v>
      </c>
      <c r="DY76" s="546">
        <f t="shared" si="108"/>
        <v>17333.576000000001</v>
      </c>
      <c r="DZ76" s="546">
        <f t="shared" si="109"/>
        <v>15145.451999999999</v>
      </c>
      <c r="EA76" s="546">
        <f t="shared" si="110"/>
        <v>15145.451999999999</v>
      </c>
      <c r="EB76" s="546">
        <f t="shared" si="111"/>
        <v>2188.1239999999998</v>
      </c>
      <c r="EE76" s="547" t="s">
        <v>471</v>
      </c>
      <c r="EF76" s="546">
        <v>833190</v>
      </c>
      <c r="EG76" s="548">
        <f t="shared" si="112"/>
        <v>833.19</v>
      </c>
      <c r="EI76" s="547" t="s">
        <v>553</v>
      </c>
      <c r="EJ76" s="546">
        <v>639722</v>
      </c>
      <c r="EK76" s="546">
        <v>0</v>
      </c>
      <c r="EL76" s="546">
        <v>0</v>
      </c>
      <c r="EM76" s="548">
        <f t="shared" si="113"/>
        <v>639.72199999999998</v>
      </c>
      <c r="EN76" s="548">
        <f t="shared" si="114"/>
        <v>0</v>
      </c>
      <c r="EO76" s="548">
        <f t="shared" si="115"/>
        <v>0</v>
      </c>
      <c r="ER76" s="544" t="s">
        <v>389</v>
      </c>
      <c r="ES76" s="545">
        <v>49829193</v>
      </c>
      <c r="ET76" s="546">
        <f t="shared" si="116"/>
        <v>49829.192999999999</v>
      </c>
      <c r="EW76" s="544" t="s">
        <v>370</v>
      </c>
      <c r="EX76" s="545">
        <v>0</v>
      </c>
      <c r="EY76" s="545">
        <v>28121006</v>
      </c>
      <c r="EZ76" s="545">
        <v>15153552</v>
      </c>
      <c r="FA76" s="545">
        <v>28121006</v>
      </c>
      <c r="FB76" s="545">
        <v>0</v>
      </c>
      <c r="FC76" s="546">
        <f t="shared" ref="FC76:FC107" si="126">+EX76/$FF$1*$FG$1</f>
        <v>0</v>
      </c>
      <c r="FD76" s="546">
        <f t="shared" ref="FD76:FD107" si="127">+EY76/$FF$1*$FG$1</f>
        <v>28121.006000000001</v>
      </c>
      <c r="FE76" s="546">
        <f t="shared" ref="FE76:FE107" si="128">+EZ76/$FF$1*$FG$1</f>
        <v>15153.552</v>
      </c>
      <c r="FF76" s="546">
        <f t="shared" ref="FF76:FF107" si="129">+FA76/$FF$1*$FG$1</f>
        <v>28121.006000000001</v>
      </c>
      <c r="FG76" s="546">
        <f t="shared" ref="FG76:FG107" si="130">+FB76/$FF$1*$FG$1</f>
        <v>0</v>
      </c>
      <c r="FJ76" s="547" t="s">
        <v>377</v>
      </c>
      <c r="FK76" s="546">
        <v>1985974</v>
      </c>
      <c r="FL76" s="548">
        <f t="shared" si="122"/>
        <v>1985.9739999999999</v>
      </c>
      <c r="FN76" s="549" t="s">
        <v>750</v>
      </c>
      <c r="FO76" s="550">
        <v>969731</v>
      </c>
      <c r="FP76" s="550">
        <v>969731</v>
      </c>
      <c r="FQ76" s="550">
        <v>969731</v>
      </c>
      <c r="FR76" s="550">
        <f t="shared" si="123"/>
        <v>969.73099999999999</v>
      </c>
      <c r="FS76" s="550">
        <f t="shared" si="124"/>
        <v>969.73099999999999</v>
      </c>
      <c r="FT76" s="550">
        <f t="shared" si="125"/>
        <v>969.73099999999999</v>
      </c>
    </row>
    <row r="77" spans="1:176" ht="15" customHeight="1" x14ac:dyDescent="0.25">
      <c r="A77" s="890" t="s">
        <v>889</v>
      </c>
      <c r="B77" s="544" t="s">
        <v>557</v>
      </c>
      <c r="C77" s="545">
        <v>0</v>
      </c>
      <c r="D77" s="545">
        <v>5000000</v>
      </c>
      <c r="E77" s="545">
        <v>0</v>
      </c>
      <c r="F77" s="545">
        <v>5000000</v>
      </c>
      <c r="G77" s="545">
        <v>0</v>
      </c>
      <c r="H77" s="546">
        <f t="shared" si="72"/>
        <v>5210</v>
      </c>
      <c r="I77" s="546">
        <f t="shared" si="73"/>
        <v>0</v>
      </c>
      <c r="J77" s="546">
        <f t="shared" si="74"/>
        <v>5210</v>
      </c>
      <c r="K77" s="546">
        <f t="shared" si="75"/>
        <v>0</v>
      </c>
      <c r="O77" s="544" t="s">
        <v>399</v>
      </c>
      <c r="P77" s="545">
        <v>4036533</v>
      </c>
      <c r="Q77" s="546">
        <f t="shared" si="76"/>
        <v>4206.0673859999997</v>
      </c>
      <c r="S77" s="544" t="s">
        <v>557</v>
      </c>
      <c r="T77" s="545">
        <v>5000000</v>
      </c>
      <c r="U77" s="545">
        <v>0</v>
      </c>
      <c r="V77" s="545">
        <v>0</v>
      </c>
      <c r="W77" s="545">
        <v>5000000</v>
      </c>
      <c r="X77" s="546">
        <f t="shared" si="77"/>
        <v>5210</v>
      </c>
      <c r="Y77" s="546">
        <f t="shared" si="78"/>
        <v>0</v>
      </c>
      <c r="Z77" s="546">
        <f t="shared" si="79"/>
        <v>0</v>
      </c>
      <c r="AA77" s="546">
        <f t="shared" si="80"/>
        <v>5210</v>
      </c>
      <c r="AC77" s="544" t="s">
        <v>387</v>
      </c>
      <c r="AD77" s="545">
        <v>6308091</v>
      </c>
      <c r="AE77" s="546">
        <f t="shared" si="81"/>
        <v>6308.0910000000003</v>
      </c>
      <c r="AG77" s="544" t="s">
        <v>556</v>
      </c>
      <c r="AH77" s="545">
        <v>1500000</v>
      </c>
      <c r="AI77" s="545">
        <v>0</v>
      </c>
      <c r="AJ77" s="545">
        <v>0</v>
      </c>
      <c r="AK77" s="545">
        <v>1500000</v>
      </c>
      <c r="AL77" s="545">
        <f t="shared" si="82"/>
        <v>1500</v>
      </c>
      <c r="AM77" s="545">
        <f t="shared" si="83"/>
        <v>0</v>
      </c>
      <c r="AN77" s="545">
        <f t="shared" si="84"/>
        <v>0</v>
      </c>
      <c r="AO77" s="545">
        <f t="shared" si="85"/>
        <v>1500</v>
      </c>
      <c r="AR77" s="544" t="s">
        <v>569</v>
      </c>
      <c r="AS77" s="545">
        <v>21694539</v>
      </c>
      <c r="AT77" s="545">
        <f t="shared" si="86"/>
        <v>21694.539000000001</v>
      </c>
      <c r="AV77" s="544" t="s">
        <v>556</v>
      </c>
      <c r="AW77" s="545">
        <v>1364000</v>
      </c>
      <c r="AX77" s="545">
        <v>0</v>
      </c>
      <c r="AY77" s="545">
        <v>0</v>
      </c>
      <c r="AZ77" s="545">
        <v>1364000</v>
      </c>
      <c r="BA77" s="546">
        <f t="shared" si="87"/>
        <v>1364</v>
      </c>
      <c r="BB77" s="546">
        <f t="shared" si="88"/>
        <v>0</v>
      </c>
      <c r="BC77" s="546">
        <f t="shared" si="89"/>
        <v>0</v>
      </c>
      <c r="BD77" s="546">
        <f t="shared" si="90"/>
        <v>1364</v>
      </c>
      <c r="BG77" s="544" t="s">
        <v>397</v>
      </c>
      <c r="BH77" s="545">
        <v>200901</v>
      </c>
      <c r="BI77" s="545">
        <f t="shared" si="91"/>
        <v>200.90100000000001</v>
      </c>
      <c r="BK77" s="544" t="s">
        <v>555</v>
      </c>
      <c r="BL77" s="545">
        <v>10821594</v>
      </c>
      <c r="BM77" s="545">
        <v>2650770</v>
      </c>
      <c r="BN77" s="545">
        <v>2650771</v>
      </c>
      <c r="BO77" s="545">
        <v>8170823</v>
      </c>
      <c r="BP77" s="545">
        <f t="shared" si="92"/>
        <v>10821.593999999999</v>
      </c>
      <c r="BQ77" s="545">
        <f t="shared" si="93"/>
        <v>2650.77</v>
      </c>
      <c r="BR77" s="545">
        <f t="shared" si="94"/>
        <v>2650.7710000000002</v>
      </c>
      <c r="BS77" s="545">
        <f t="shared" si="95"/>
        <v>8170.8230000000003</v>
      </c>
      <c r="BV77" s="544" t="s">
        <v>386</v>
      </c>
      <c r="BW77" s="545">
        <v>120322385</v>
      </c>
      <c r="BX77" s="546">
        <f t="shared" si="96"/>
        <v>120322.38499999999</v>
      </c>
      <c r="BZ77" s="544" t="s">
        <v>555</v>
      </c>
      <c r="CA77" s="545">
        <v>12875490</v>
      </c>
      <c r="CB77" s="545">
        <v>3397364</v>
      </c>
      <c r="CC77" s="545">
        <v>4721835</v>
      </c>
      <c r="CD77" s="545">
        <v>8153655</v>
      </c>
      <c r="CE77" s="545">
        <f t="shared" si="97"/>
        <v>12875.49</v>
      </c>
      <c r="CF77" s="545">
        <f t="shared" si="98"/>
        <v>3397.364</v>
      </c>
      <c r="CG77" s="545">
        <f t="shared" si="99"/>
        <v>4721.835</v>
      </c>
      <c r="CH77" s="545">
        <f t="shared" si="100"/>
        <v>8153.6549999999997</v>
      </c>
      <c r="CK77" s="547" t="s">
        <v>385</v>
      </c>
      <c r="CL77" s="546">
        <v>109480</v>
      </c>
      <c r="CM77" s="546">
        <f t="shared" si="101"/>
        <v>109.48</v>
      </c>
      <c r="CP77" s="547" t="s">
        <v>555</v>
      </c>
      <c r="CQ77" s="546">
        <v>12875490</v>
      </c>
      <c r="CR77" s="546">
        <v>4721834</v>
      </c>
      <c r="CS77" s="546">
        <v>4721835</v>
      </c>
      <c r="CT77" s="546">
        <v>8153655</v>
      </c>
      <c r="CU77" s="546">
        <f t="shared" si="68"/>
        <v>12875.49</v>
      </c>
      <c r="CV77" s="546">
        <f t="shared" si="69"/>
        <v>4721.8339999999998</v>
      </c>
      <c r="CW77" s="546">
        <f t="shared" si="70"/>
        <v>4721.835</v>
      </c>
      <c r="CX77" s="546">
        <f t="shared" si="71"/>
        <v>8153.6549999999997</v>
      </c>
      <c r="CZ77" s="547" t="s">
        <v>564</v>
      </c>
      <c r="DA77" s="546">
        <v>543491</v>
      </c>
      <c r="DB77" s="546">
        <f t="shared" si="102"/>
        <v>543.49099999999999</v>
      </c>
      <c r="DE77" s="544" t="s">
        <v>555</v>
      </c>
      <c r="DF77" s="545">
        <v>13275490</v>
      </c>
      <c r="DG77" s="545">
        <v>5378218</v>
      </c>
      <c r="DH77" s="545">
        <v>6742462</v>
      </c>
      <c r="DI77" s="545">
        <v>6533028</v>
      </c>
      <c r="DJ77" s="546">
        <f t="shared" si="103"/>
        <v>13275.49</v>
      </c>
      <c r="DK77" s="546">
        <f t="shared" si="104"/>
        <v>5378.2179999999998</v>
      </c>
      <c r="DL77" s="546">
        <f t="shared" si="105"/>
        <v>6742.4620000000004</v>
      </c>
      <c r="DM77" s="546">
        <f t="shared" si="106"/>
        <v>6533.0280000000002</v>
      </c>
      <c r="DP77" s="544" t="s">
        <v>471</v>
      </c>
      <c r="DQ77" s="545">
        <v>833190</v>
      </c>
      <c r="DR77" s="546">
        <f t="shared" si="107"/>
        <v>833.19</v>
      </c>
      <c r="DT77" s="544" t="s">
        <v>555</v>
      </c>
      <c r="DU77" s="545">
        <v>13501590</v>
      </c>
      <c r="DV77" s="545">
        <v>6968561</v>
      </c>
      <c r="DW77" s="545">
        <v>6968562</v>
      </c>
      <c r="DX77" s="545">
        <v>6533028</v>
      </c>
      <c r="DY77" s="546">
        <f t="shared" si="108"/>
        <v>13501.59</v>
      </c>
      <c r="DZ77" s="546">
        <f t="shared" si="109"/>
        <v>6968.5609999999997</v>
      </c>
      <c r="EA77" s="546">
        <f t="shared" si="110"/>
        <v>6968.5619999999999</v>
      </c>
      <c r="EB77" s="546">
        <f t="shared" si="111"/>
        <v>6533.0280000000002</v>
      </c>
      <c r="EE77" s="547" t="s">
        <v>565</v>
      </c>
      <c r="EF77" s="546">
        <v>14866347</v>
      </c>
      <c r="EG77" s="548">
        <f t="shared" si="112"/>
        <v>14866.347</v>
      </c>
      <c r="EI77" s="547" t="s">
        <v>370</v>
      </c>
      <c r="EJ77" s="546">
        <v>16208033</v>
      </c>
      <c r="EK77" s="546">
        <v>15153552</v>
      </c>
      <c r="EL77" s="546">
        <v>15153552</v>
      </c>
      <c r="EM77" s="548">
        <f t="shared" si="113"/>
        <v>16208.032999999999</v>
      </c>
      <c r="EN77" s="548">
        <f t="shared" si="114"/>
        <v>15153.552</v>
      </c>
      <c r="EO77" s="548">
        <f t="shared" si="115"/>
        <v>15153.552</v>
      </c>
      <c r="ER77" s="544" t="s">
        <v>390</v>
      </c>
      <c r="ES77" s="545">
        <v>33601291</v>
      </c>
      <c r="ET77" s="546">
        <f t="shared" si="116"/>
        <v>33601.290999999997</v>
      </c>
      <c r="EW77" s="544" t="s">
        <v>554</v>
      </c>
      <c r="EX77" s="545">
        <v>0</v>
      </c>
      <c r="EY77" s="545">
        <v>384982</v>
      </c>
      <c r="EZ77" s="545">
        <v>384982</v>
      </c>
      <c r="FA77" s="545">
        <v>384982</v>
      </c>
      <c r="FB77" s="545">
        <v>0</v>
      </c>
      <c r="FC77" s="546">
        <f t="shared" si="126"/>
        <v>0</v>
      </c>
      <c r="FD77" s="546">
        <f t="shared" si="127"/>
        <v>384.98200000000003</v>
      </c>
      <c r="FE77" s="546">
        <f t="shared" si="128"/>
        <v>384.98200000000003</v>
      </c>
      <c r="FF77" s="546">
        <f t="shared" si="129"/>
        <v>384.98200000000003</v>
      </c>
      <c r="FG77" s="546">
        <f t="shared" si="130"/>
        <v>0</v>
      </c>
      <c r="FJ77" s="547" t="s">
        <v>378</v>
      </c>
      <c r="FK77" s="546">
        <v>5465156</v>
      </c>
      <c r="FL77" s="548">
        <f t="shared" si="122"/>
        <v>5465.1559999999999</v>
      </c>
      <c r="FN77" s="549" t="s">
        <v>370</v>
      </c>
      <c r="FO77" s="550">
        <v>28121006</v>
      </c>
      <c r="FP77" s="550">
        <v>28121006</v>
      </c>
      <c r="FQ77" s="550">
        <v>28121006</v>
      </c>
      <c r="FR77" s="550">
        <f t="shared" si="123"/>
        <v>28121.006000000001</v>
      </c>
      <c r="FS77" s="550">
        <f t="shared" si="124"/>
        <v>28121.006000000001</v>
      </c>
      <c r="FT77" s="550">
        <f t="shared" si="125"/>
        <v>28121.006000000001</v>
      </c>
    </row>
    <row r="78" spans="1:176" ht="15" customHeight="1" x14ac:dyDescent="0.25">
      <c r="A78" s="890" t="s">
        <v>889</v>
      </c>
      <c r="B78" s="544" t="s">
        <v>558</v>
      </c>
      <c r="C78" s="545">
        <v>0</v>
      </c>
      <c r="D78" s="545">
        <v>70000</v>
      </c>
      <c r="E78" s="545">
        <v>70000</v>
      </c>
      <c r="F78" s="545">
        <v>0</v>
      </c>
      <c r="G78" s="545">
        <v>70000</v>
      </c>
      <c r="H78" s="546">
        <f t="shared" si="72"/>
        <v>72.94</v>
      </c>
      <c r="I78" s="546">
        <f t="shared" si="73"/>
        <v>72.94</v>
      </c>
      <c r="J78" s="546">
        <f t="shared" si="74"/>
        <v>0</v>
      </c>
      <c r="K78" s="546">
        <f t="shared" si="75"/>
        <v>72.94</v>
      </c>
      <c r="O78" s="544" t="s">
        <v>502</v>
      </c>
      <c r="P78" s="545">
        <v>4036533</v>
      </c>
      <c r="Q78" s="546">
        <f t="shared" si="76"/>
        <v>4206.0673859999997</v>
      </c>
      <c r="S78" s="544" t="s">
        <v>558</v>
      </c>
      <c r="T78" s="545">
        <v>70000</v>
      </c>
      <c r="U78" s="545">
        <v>70000</v>
      </c>
      <c r="V78" s="545">
        <v>70000</v>
      </c>
      <c r="W78" s="545">
        <v>0</v>
      </c>
      <c r="X78" s="546">
        <f t="shared" si="77"/>
        <v>72.94</v>
      </c>
      <c r="Y78" s="546">
        <f t="shared" si="78"/>
        <v>72.94</v>
      </c>
      <c r="Z78" s="546">
        <f t="shared" si="79"/>
        <v>72.94</v>
      </c>
      <c r="AA78" s="546">
        <f t="shared" si="80"/>
        <v>0</v>
      </c>
      <c r="AC78" s="544" t="s">
        <v>471</v>
      </c>
      <c r="AD78" s="545">
        <v>2310252</v>
      </c>
      <c r="AE78" s="546">
        <f t="shared" si="81"/>
        <v>2310.252</v>
      </c>
      <c r="AG78" s="544" t="s">
        <v>557</v>
      </c>
      <c r="AH78" s="545">
        <v>5000000</v>
      </c>
      <c r="AI78" s="545">
        <v>0</v>
      </c>
      <c r="AJ78" s="545">
        <v>0</v>
      </c>
      <c r="AK78" s="545">
        <v>5000000</v>
      </c>
      <c r="AL78" s="545">
        <f t="shared" si="82"/>
        <v>5000</v>
      </c>
      <c r="AM78" s="545">
        <f t="shared" si="83"/>
        <v>0</v>
      </c>
      <c r="AN78" s="545">
        <f t="shared" si="84"/>
        <v>0</v>
      </c>
      <c r="AO78" s="545">
        <f t="shared" si="85"/>
        <v>5000</v>
      </c>
      <c r="AR78" s="544" t="s">
        <v>472</v>
      </c>
      <c r="AS78" s="545">
        <v>2388858</v>
      </c>
      <c r="AT78" s="545">
        <f t="shared" si="86"/>
        <v>2388.8580000000002</v>
      </c>
      <c r="AV78" s="544" t="s">
        <v>557</v>
      </c>
      <c r="AW78" s="545">
        <v>5333182</v>
      </c>
      <c r="AX78" s="545">
        <v>0</v>
      </c>
      <c r="AY78" s="545">
        <v>1024319</v>
      </c>
      <c r="AZ78" s="545">
        <v>4308863</v>
      </c>
      <c r="BA78" s="546">
        <f t="shared" si="87"/>
        <v>5333.1819999999998</v>
      </c>
      <c r="BB78" s="546">
        <f t="shared" si="88"/>
        <v>0</v>
      </c>
      <c r="BC78" s="546">
        <f t="shared" si="89"/>
        <v>1024.319</v>
      </c>
      <c r="BD78" s="546">
        <f t="shared" si="90"/>
        <v>4308.8630000000003</v>
      </c>
      <c r="BG78" s="544" t="s">
        <v>398</v>
      </c>
      <c r="BH78" s="545">
        <v>5347041</v>
      </c>
      <c r="BI78" s="545">
        <f t="shared" si="91"/>
        <v>5347.0410000000002</v>
      </c>
      <c r="BK78" s="544" t="s">
        <v>556</v>
      </c>
      <c r="BL78" s="545">
        <v>1364000</v>
      </c>
      <c r="BM78" s="545">
        <v>0</v>
      </c>
      <c r="BN78" s="545">
        <v>0</v>
      </c>
      <c r="BO78" s="545">
        <v>1364000</v>
      </c>
      <c r="BP78" s="545">
        <f t="shared" si="92"/>
        <v>1364</v>
      </c>
      <c r="BQ78" s="545">
        <f t="shared" si="93"/>
        <v>0</v>
      </c>
      <c r="BR78" s="545">
        <f t="shared" si="94"/>
        <v>0</v>
      </c>
      <c r="BS78" s="545">
        <f t="shared" si="95"/>
        <v>1364</v>
      </c>
      <c r="BV78" s="544" t="s">
        <v>387</v>
      </c>
      <c r="BW78" s="545">
        <v>7105934</v>
      </c>
      <c r="BX78" s="546">
        <f t="shared" si="96"/>
        <v>7105.9340000000002</v>
      </c>
      <c r="BZ78" s="544" t="s">
        <v>556</v>
      </c>
      <c r="CA78" s="545">
        <v>1364000</v>
      </c>
      <c r="CB78" s="545">
        <v>0</v>
      </c>
      <c r="CC78" s="545">
        <v>0</v>
      </c>
      <c r="CD78" s="545">
        <v>1364000</v>
      </c>
      <c r="CE78" s="545">
        <f t="shared" si="97"/>
        <v>1364</v>
      </c>
      <c r="CF78" s="545">
        <f t="shared" si="98"/>
        <v>0</v>
      </c>
      <c r="CG78" s="545">
        <f t="shared" si="99"/>
        <v>0</v>
      </c>
      <c r="CH78" s="545">
        <f t="shared" si="100"/>
        <v>1364</v>
      </c>
      <c r="CK78" s="547" t="s">
        <v>386</v>
      </c>
      <c r="CL78" s="546">
        <v>169821073</v>
      </c>
      <c r="CM78" s="546">
        <f t="shared" si="101"/>
        <v>169821.073</v>
      </c>
      <c r="CP78" s="547" t="s">
        <v>556</v>
      </c>
      <c r="CQ78" s="546">
        <v>1364000</v>
      </c>
      <c r="CR78" s="546">
        <v>0</v>
      </c>
      <c r="CS78" s="546">
        <v>0</v>
      </c>
      <c r="CT78" s="546">
        <v>1364000</v>
      </c>
      <c r="CU78" s="546">
        <f t="shared" si="68"/>
        <v>1364</v>
      </c>
      <c r="CV78" s="546">
        <f t="shared" si="69"/>
        <v>0</v>
      </c>
      <c r="CW78" s="546">
        <f t="shared" si="70"/>
        <v>0</v>
      </c>
      <c r="CX78" s="546">
        <f t="shared" si="71"/>
        <v>1364</v>
      </c>
      <c r="CZ78" s="547" t="s">
        <v>383</v>
      </c>
      <c r="DA78" s="546">
        <v>3445562</v>
      </c>
      <c r="DB78" s="546">
        <f t="shared" si="102"/>
        <v>3445.5619999999999</v>
      </c>
      <c r="DE78" s="544" t="s">
        <v>556</v>
      </c>
      <c r="DF78" s="545">
        <v>1364000</v>
      </c>
      <c r="DG78" s="545">
        <v>692580</v>
      </c>
      <c r="DH78" s="545">
        <v>692580</v>
      </c>
      <c r="DI78" s="545">
        <v>671420</v>
      </c>
      <c r="DJ78" s="546">
        <f t="shared" si="103"/>
        <v>1364</v>
      </c>
      <c r="DK78" s="546">
        <f t="shared" si="104"/>
        <v>692.58</v>
      </c>
      <c r="DL78" s="546">
        <f t="shared" si="105"/>
        <v>692.58</v>
      </c>
      <c r="DM78" s="546">
        <f t="shared" si="106"/>
        <v>671.42</v>
      </c>
      <c r="DP78" s="544" t="s">
        <v>565</v>
      </c>
      <c r="DQ78" s="545">
        <v>9065497</v>
      </c>
      <c r="DR78" s="546">
        <f t="shared" si="107"/>
        <v>9065.4969999999994</v>
      </c>
      <c r="DT78" s="544" t="s">
        <v>556</v>
      </c>
      <c r="DU78" s="545">
        <v>1364000</v>
      </c>
      <c r="DV78" s="545">
        <v>692580</v>
      </c>
      <c r="DW78" s="545">
        <v>692580</v>
      </c>
      <c r="DX78" s="545">
        <v>671420</v>
      </c>
      <c r="DY78" s="546">
        <f t="shared" si="108"/>
        <v>1364</v>
      </c>
      <c r="DZ78" s="546">
        <f t="shared" si="109"/>
        <v>692.58</v>
      </c>
      <c r="EA78" s="546">
        <f t="shared" si="110"/>
        <v>692.58</v>
      </c>
      <c r="EB78" s="546">
        <f t="shared" si="111"/>
        <v>671.42</v>
      </c>
      <c r="EE78" s="547" t="s">
        <v>566</v>
      </c>
      <c r="EF78" s="546">
        <v>7418331</v>
      </c>
      <c r="EG78" s="548">
        <f t="shared" si="112"/>
        <v>7418.3310000000001</v>
      </c>
      <c r="EI78" s="547" t="s">
        <v>554</v>
      </c>
      <c r="EJ78" s="546">
        <v>384982</v>
      </c>
      <c r="EK78" s="546">
        <v>384982</v>
      </c>
      <c r="EL78" s="546">
        <v>0</v>
      </c>
      <c r="EM78" s="548">
        <f t="shared" si="113"/>
        <v>384.98200000000003</v>
      </c>
      <c r="EN78" s="548">
        <f t="shared" si="114"/>
        <v>384.98200000000003</v>
      </c>
      <c r="EO78" s="548">
        <f t="shared" si="115"/>
        <v>0</v>
      </c>
      <c r="ER78" s="544" t="s">
        <v>568</v>
      </c>
      <c r="ES78" s="545">
        <v>1919971</v>
      </c>
      <c r="ET78" s="546">
        <f t="shared" si="116"/>
        <v>1919.971</v>
      </c>
      <c r="EW78" s="544" t="s">
        <v>555</v>
      </c>
      <c r="EX78" s="545">
        <v>0</v>
      </c>
      <c r="EY78" s="545">
        <v>21747930</v>
      </c>
      <c r="EZ78" s="545">
        <v>7875181</v>
      </c>
      <c r="FA78" s="545">
        <v>8171253</v>
      </c>
      <c r="FB78" s="545">
        <v>13576677</v>
      </c>
      <c r="FC78" s="546">
        <f t="shared" si="126"/>
        <v>0</v>
      </c>
      <c r="FD78" s="546">
        <f t="shared" si="127"/>
        <v>21747.93</v>
      </c>
      <c r="FE78" s="546">
        <f t="shared" si="128"/>
        <v>7875.1809999999996</v>
      </c>
      <c r="FF78" s="546">
        <f t="shared" si="129"/>
        <v>8171.2529999999997</v>
      </c>
      <c r="FG78" s="546">
        <f t="shared" si="130"/>
        <v>13576.677</v>
      </c>
      <c r="FJ78" s="547" t="s">
        <v>559</v>
      </c>
      <c r="FK78" s="546">
        <v>5541846</v>
      </c>
      <c r="FL78" s="548">
        <f t="shared" si="122"/>
        <v>5541.8459999999995</v>
      </c>
      <c r="FN78" s="549" t="s">
        <v>554</v>
      </c>
      <c r="FO78" s="550">
        <v>384982</v>
      </c>
      <c r="FP78" s="550">
        <v>384982</v>
      </c>
      <c r="FQ78" s="550">
        <v>384982</v>
      </c>
      <c r="FR78" s="550">
        <f t="shared" si="123"/>
        <v>384.98200000000003</v>
      </c>
      <c r="FS78" s="550">
        <f t="shared" si="124"/>
        <v>384.98200000000003</v>
      </c>
      <c r="FT78" s="550">
        <f t="shared" si="125"/>
        <v>384.98200000000003</v>
      </c>
    </row>
    <row r="79" spans="1:176" ht="15" customHeight="1" x14ac:dyDescent="0.25">
      <c r="A79" s="890" t="s">
        <v>889</v>
      </c>
      <c r="B79" s="544" t="s">
        <v>371</v>
      </c>
      <c r="C79" s="545">
        <v>0</v>
      </c>
      <c r="D79" s="545">
        <v>5789061</v>
      </c>
      <c r="E79" s="545">
        <v>2783032</v>
      </c>
      <c r="F79" s="545">
        <v>3006029</v>
      </c>
      <c r="G79" s="545">
        <v>0</v>
      </c>
      <c r="H79" s="546">
        <f t="shared" si="72"/>
        <v>6032.2015620000002</v>
      </c>
      <c r="I79" s="546">
        <f t="shared" si="73"/>
        <v>2899.9193440000004</v>
      </c>
      <c r="J79" s="546">
        <f t="shared" si="74"/>
        <v>3132.2822180000003</v>
      </c>
      <c r="K79" s="546">
        <f t="shared" si="75"/>
        <v>0</v>
      </c>
      <c r="O79" s="544" t="s">
        <v>597</v>
      </c>
      <c r="P79" s="545">
        <v>14217105</v>
      </c>
      <c r="Q79" s="546">
        <f t="shared" si="76"/>
        <v>14814.223410000001</v>
      </c>
      <c r="S79" s="544" t="s">
        <v>371</v>
      </c>
      <c r="T79" s="545">
        <v>9569173</v>
      </c>
      <c r="U79" s="545">
        <v>3416948</v>
      </c>
      <c r="V79" s="545">
        <v>8776920</v>
      </c>
      <c r="W79" s="545">
        <v>792253</v>
      </c>
      <c r="X79" s="546">
        <f t="shared" si="77"/>
        <v>9971.0782660000004</v>
      </c>
      <c r="Y79" s="546">
        <f t="shared" si="78"/>
        <v>3560.459816</v>
      </c>
      <c r="Z79" s="546">
        <f t="shared" si="79"/>
        <v>9145.5506400000013</v>
      </c>
      <c r="AA79" s="546">
        <f t="shared" si="80"/>
        <v>825.52762600000005</v>
      </c>
      <c r="AC79" s="544" t="s">
        <v>565</v>
      </c>
      <c r="AD79" s="545">
        <v>21408738</v>
      </c>
      <c r="AE79" s="546">
        <f t="shared" si="81"/>
        <v>21408.738000000001</v>
      </c>
      <c r="AG79" s="544" t="s">
        <v>558</v>
      </c>
      <c r="AH79" s="545">
        <v>70000</v>
      </c>
      <c r="AI79" s="545">
        <v>70000</v>
      </c>
      <c r="AJ79" s="545">
        <v>70000</v>
      </c>
      <c r="AK79" s="545">
        <v>0</v>
      </c>
      <c r="AL79" s="545">
        <f t="shared" si="82"/>
        <v>70</v>
      </c>
      <c r="AM79" s="545">
        <f t="shared" si="83"/>
        <v>70</v>
      </c>
      <c r="AN79" s="545">
        <f t="shared" si="84"/>
        <v>70</v>
      </c>
      <c r="AO79" s="545">
        <f t="shared" si="85"/>
        <v>0</v>
      </c>
      <c r="AR79" s="544" t="s">
        <v>571</v>
      </c>
      <c r="AS79" s="545">
        <v>150669570</v>
      </c>
      <c r="AT79" s="545">
        <f t="shared" si="86"/>
        <v>150669.57</v>
      </c>
      <c r="AV79" s="544" t="s">
        <v>558</v>
      </c>
      <c r="AW79" s="545">
        <v>338583</v>
      </c>
      <c r="AX79" s="545">
        <v>70000</v>
      </c>
      <c r="AY79" s="545">
        <v>70000</v>
      </c>
      <c r="AZ79" s="545">
        <v>268583</v>
      </c>
      <c r="BA79" s="546">
        <f t="shared" si="87"/>
        <v>338.58300000000003</v>
      </c>
      <c r="BB79" s="546">
        <f t="shared" si="88"/>
        <v>70</v>
      </c>
      <c r="BC79" s="546">
        <f t="shared" si="89"/>
        <v>70</v>
      </c>
      <c r="BD79" s="546">
        <f t="shared" si="90"/>
        <v>268.58300000000003</v>
      </c>
      <c r="BG79" s="544" t="s">
        <v>399</v>
      </c>
      <c r="BH79" s="545">
        <v>5347041</v>
      </c>
      <c r="BI79" s="545">
        <f t="shared" si="91"/>
        <v>5347.0410000000002</v>
      </c>
      <c r="BK79" s="544" t="s">
        <v>557</v>
      </c>
      <c r="BL79" s="545">
        <v>3413182</v>
      </c>
      <c r="BM79" s="545">
        <v>1024320</v>
      </c>
      <c r="BN79" s="545">
        <v>1024320</v>
      </c>
      <c r="BO79" s="545">
        <v>2388862</v>
      </c>
      <c r="BP79" s="545">
        <f t="shared" si="92"/>
        <v>3413.1819999999998</v>
      </c>
      <c r="BQ79" s="545">
        <f t="shared" si="93"/>
        <v>1024.32</v>
      </c>
      <c r="BR79" s="545">
        <f t="shared" si="94"/>
        <v>1024.32</v>
      </c>
      <c r="BS79" s="545">
        <f t="shared" si="95"/>
        <v>2388.8620000000001</v>
      </c>
      <c r="BV79" s="544" t="s">
        <v>471</v>
      </c>
      <c r="BW79" s="545">
        <v>833190</v>
      </c>
      <c r="BX79" s="546">
        <f t="shared" si="96"/>
        <v>833.19</v>
      </c>
      <c r="BZ79" s="544" t="s">
        <v>557</v>
      </c>
      <c r="CA79" s="545">
        <v>3413182</v>
      </c>
      <c r="CB79" s="545">
        <v>1024320</v>
      </c>
      <c r="CC79" s="545">
        <v>1024320</v>
      </c>
      <c r="CD79" s="545">
        <v>2388862</v>
      </c>
      <c r="CE79" s="545">
        <f t="shared" si="97"/>
        <v>3413.1819999999998</v>
      </c>
      <c r="CF79" s="545">
        <f t="shared" si="98"/>
        <v>1024.32</v>
      </c>
      <c r="CG79" s="545">
        <f t="shared" si="99"/>
        <v>1024.32</v>
      </c>
      <c r="CH79" s="545">
        <f t="shared" si="100"/>
        <v>2388.8620000000001</v>
      </c>
      <c r="CK79" s="547" t="s">
        <v>387</v>
      </c>
      <c r="CL79" s="546">
        <v>8697216</v>
      </c>
      <c r="CM79" s="546">
        <f t="shared" si="101"/>
        <v>8697.2160000000003</v>
      </c>
      <c r="CP79" s="547" t="s">
        <v>557</v>
      </c>
      <c r="CQ79" s="546">
        <v>3503264</v>
      </c>
      <c r="CR79" s="546">
        <v>1024320</v>
      </c>
      <c r="CS79" s="546">
        <v>1114402</v>
      </c>
      <c r="CT79" s="546">
        <v>2388862</v>
      </c>
      <c r="CU79" s="546">
        <f t="shared" si="68"/>
        <v>3503.2640000000001</v>
      </c>
      <c r="CV79" s="546">
        <f t="shared" si="69"/>
        <v>1024.32</v>
      </c>
      <c r="CW79" s="546">
        <f t="shared" si="70"/>
        <v>1114.402</v>
      </c>
      <c r="CX79" s="546">
        <f t="shared" si="71"/>
        <v>2388.8620000000001</v>
      </c>
      <c r="CZ79" s="547" t="s">
        <v>384</v>
      </c>
      <c r="DA79" s="546">
        <v>3445562</v>
      </c>
      <c r="DB79" s="546">
        <f t="shared" si="102"/>
        <v>3445.5619999999999</v>
      </c>
      <c r="DE79" s="544" t="s">
        <v>557</v>
      </c>
      <c r="DF79" s="545">
        <v>3503264</v>
      </c>
      <c r="DG79" s="545">
        <v>1114402</v>
      </c>
      <c r="DH79" s="545">
        <v>1114402</v>
      </c>
      <c r="DI79" s="545">
        <v>2388862</v>
      </c>
      <c r="DJ79" s="546">
        <f t="shared" si="103"/>
        <v>3503.2640000000001</v>
      </c>
      <c r="DK79" s="546">
        <f t="shared" si="104"/>
        <v>1114.402</v>
      </c>
      <c r="DL79" s="546">
        <f t="shared" si="105"/>
        <v>1114.402</v>
      </c>
      <c r="DM79" s="546">
        <f t="shared" si="106"/>
        <v>2388.8620000000001</v>
      </c>
      <c r="DP79" s="544" t="s">
        <v>566</v>
      </c>
      <c r="DQ79" s="545">
        <v>7084982</v>
      </c>
      <c r="DR79" s="546">
        <f t="shared" si="107"/>
        <v>7084.982</v>
      </c>
      <c r="DT79" s="544" t="s">
        <v>557</v>
      </c>
      <c r="DU79" s="545">
        <v>3503264</v>
      </c>
      <c r="DV79" s="545">
        <v>1114402</v>
      </c>
      <c r="DW79" s="545">
        <v>1114402</v>
      </c>
      <c r="DX79" s="545">
        <v>2388862</v>
      </c>
      <c r="DY79" s="546">
        <f t="shared" si="108"/>
        <v>3503.2640000000001</v>
      </c>
      <c r="DZ79" s="546">
        <f t="shared" si="109"/>
        <v>1114.402</v>
      </c>
      <c r="EA79" s="546">
        <f t="shared" si="110"/>
        <v>1114.402</v>
      </c>
      <c r="EB79" s="546">
        <f t="shared" si="111"/>
        <v>2388.8620000000001</v>
      </c>
      <c r="EE79" s="547" t="s">
        <v>388</v>
      </c>
      <c r="EF79" s="546">
        <v>52941901</v>
      </c>
      <c r="EG79" s="548">
        <f t="shared" si="112"/>
        <v>52941.900999999998</v>
      </c>
      <c r="EI79" s="547" t="s">
        <v>555</v>
      </c>
      <c r="EJ79" s="546">
        <v>13501590</v>
      </c>
      <c r="EK79" s="546">
        <v>7401424</v>
      </c>
      <c r="EL79" s="546">
        <v>7401418</v>
      </c>
      <c r="EM79" s="548">
        <f t="shared" si="113"/>
        <v>13501.59</v>
      </c>
      <c r="EN79" s="548">
        <f t="shared" si="114"/>
        <v>7401.424</v>
      </c>
      <c r="EO79" s="548">
        <f t="shared" si="115"/>
        <v>7401.4179999999997</v>
      </c>
      <c r="ER79" s="544" t="s">
        <v>569</v>
      </c>
      <c r="ES79" s="545">
        <v>9530215</v>
      </c>
      <c r="ET79" s="546">
        <f t="shared" si="116"/>
        <v>9530.2150000000001</v>
      </c>
      <c r="EW79" s="544" t="s">
        <v>556</v>
      </c>
      <c r="EX79" s="545">
        <v>0</v>
      </c>
      <c r="EY79" s="545">
        <v>3564253</v>
      </c>
      <c r="EZ79" s="545">
        <v>2167061</v>
      </c>
      <c r="FA79" s="545">
        <v>3230503</v>
      </c>
      <c r="FB79" s="545">
        <v>333750</v>
      </c>
      <c r="FC79" s="546">
        <f t="shared" si="126"/>
        <v>0</v>
      </c>
      <c r="FD79" s="546">
        <f t="shared" si="127"/>
        <v>3564.2530000000002</v>
      </c>
      <c r="FE79" s="546">
        <f t="shared" si="128"/>
        <v>2167.0610000000001</v>
      </c>
      <c r="FF79" s="546">
        <f t="shared" si="129"/>
        <v>3230.5030000000002</v>
      </c>
      <c r="FG79" s="546">
        <f t="shared" si="130"/>
        <v>333.75</v>
      </c>
      <c r="FJ79" s="547" t="s">
        <v>381</v>
      </c>
      <c r="FK79" s="546">
        <v>4216196</v>
      </c>
      <c r="FL79" s="548">
        <f t="shared" si="122"/>
        <v>4216.1959999999999</v>
      </c>
      <c r="FN79" s="549" t="s">
        <v>555</v>
      </c>
      <c r="FO79" s="550">
        <v>21543997</v>
      </c>
      <c r="FP79" s="550">
        <v>8171253</v>
      </c>
      <c r="FQ79" s="550">
        <v>8171253</v>
      </c>
      <c r="FR79" s="550">
        <f t="shared" si="123"/>
        <v>21543.996999999999</v>
      </c>
      <c r="FS79" s="550">
        <f t="shared" si="124"/>
        <v>8171.2529999999997</v>
      </c>
      <c r="FT79" s="550">
        <f t="shared" si="125"/>
        <v>8171.2529999999997</v>
      </c>
    </row>
    <row r="80" spans="1:176" ht="15" customHeight="1" x14ac:dyDescent="0.25">
      <c r="A80" s="890" t="s">
        <v>888</v>
      </c>
      <c r="B80" s="544" t="s">
        <v>373</v>
      </c>
      <c r="C80" s="545">
        <v>0</v>
      </c>
      <c r="D80" s="545">
        <v>168085000</v>
      </c>
      <c r="E80" s="545">
        <v>102146292</v>
      </c>
      <c r="F80" s="545">
        <v>65938708</v>
      </c>
      <c r="G80" s="545">
        <v>9250912</v>
      </c>
      <c r="H80" s="546">
        <f t="shared" si="72"/>
        <v>175144.57</v>
      </c>
      <c r="I80" s="546">
        <f t="shared" si="73"/>
        <v>106436.436264</v>
      </c>
      <c r="J80" s="546">
        <f t="shared" si="74"/>
        <v>68708.133736000003</v>
      </c>
      <c r="K80" s="546">
        <f t="shared" si="75"/>
        <v>9639.450304</v>
      </c>
      <c r="O80" s="544" t="s">
        <v>598</v>
      </c>
      <c r="P80" s="545">
        <v>14217105</v>
      </c>
      <c r="Q80" s="546">
        <f t="shared" si="76"/>
        <v>14814.223410000001</v>
      </c>
      <c r="S80" s="544" t="s">
        <v>372</v>
      </c>
      <c r="T80" s="545">
        <v>892500</v>
      </c>
      <c r="U80" s="545">
        <v>0</v>
      </c>
      <c r="V80" s="545">
        <v>892500</v>
      </c>
      <c r="W80" s="545">
        <v>0</v>
      </c>
      <c r="X80" s="546">
        <f t="shared" si="77"/>
        <v>929.98500000000001</v>
      </c>
      <c r="Y80" s="546">
        <f t="shared" si="78"/>
        <v>0</v>
      </c>
      <c r="Z80" s="546">
        <f t="shared" si="79"/>
        <v>929.98500000000001</v>
      </c>
      <c r="AA80" s="546">
        <f t="shared" si="80"/>
        <v>0</v>
      </c>
      <c r="AC80" s="544" t="s">
        <v>566</v>
      </c>
      <c r="AD80" s="545">
        <v>3707940</v>
      </c>
      <c r="AE80" s="546">
        <f t="shared" si="81"/>
        <v>3707.94</v>
      </c>
      <c r="AG80" s="544" t="s">
        <v>371</v>
      </c>
      <c r="AH80" s="545">
        <v>9775173</v>
      </c>
      <c r="AI80" s="545">
        <v>6195593</v>
      </c>
      <c r="AJ80" s="545">
        <v>8978625</v>
      </c>
      <c r="AK80" s="545">
        <v>796548</v>
      </c>
      <c r="AL80" s="545">
        <f t="shared" si="82"/>
        <v>9775.1730000000007</v>
      </c>
      <c r="AM80" s="545">
        <f t="shared" si="83"/>
        <v>6195.5929999999998</v>
      </c>
      <c r="AN80" s="545">
        <f t="shared" si="84"/>
        <v>8978.625</v>
      </c>
      <c r="AO80" s="545">
        <f t="shared" si="85"/>
        <v>796.548</v>
      </c>
      <c r="AR80" s="544" t="s">
        <v>394</v>
      </c>
      <c r="AS80" s="545">
        <v>145977570</v>
      </c>
      <c r="AT80" s="545">
        <f t="shared" si="86"/>
        <v>145977.57</v>
      </c>
      <c r="AV80" s="544" t="s">
        <v>371</v>
      </c>
      <c r="AW80" s="545">
        <v>9071050</v>
      </c>
      <c r="AX80" s="545">
        <v>8839654</v>
      </c>
      <c r="AY80" s="545">
        <v>8978625</v>
      </c>
      <c r="AZ80" s="545">
        <v>92425</v>
      </c>
      <c r="BA80" s="546">
        <f t="shared" si="87"/>
        <v>9071.0499999999993</v>
      </c>
      <c r="BB80" s="546">
        <f t="shared" si="88"/>
        <v>8839.6540000000005</v>
      </c>
      <c r="BC80" s="546">
        <f t="shared" si="89"/>
        <v>8978.625</v>
      </c>
      <c r="BD80" s="546">
        <f t="shared" si="90"/>
        <v>92.424999999999997</v>
      </c>
      <c r="BG80" s="544" t="s">
        <v>502</v>
      </c>
      <c r="BH80" s="545">
        <v>5347041</v>
      </c>
      <c r="BI80" s="545">
        <f t="shared" si="91"/>
        <v>5347.0410000000002</v>
      </c>
      <c r="BK80" s="544" t="s">
        <v>558</v>
      </c>
      <c r="BL80" s="545">
        <v>338583</v>
      </c>
      <c r="BM80" s="545">
        <v>338583</v>
      </c>
      <c r="BN80" s="545">
        <v>338583</v>
      </c>
      <c r="BO80" s="545">
        <v>0</v>
      </c>
      <c r="BP80" s="545">
        <f t="shared" si="92"/>
        <v>338.58300000000003</v>
      </c>
      <c r="BQ80" s="545">
        <f t="shared" si="93"/>
        <v>338.58300000000003</v>
      </c>
      <c r="BR80" s="545">
        <f t="shared" si="94"/>
        <v>338.58300000000003</v>
      </c>
      <c r="BS80" s="545">
        <f t="shared" si="95"/>
        <v>0</v>
      </c>
      <c r="BV80" s="544" t="s">
        <v>565</v>
      </c>
      <c r="BW80" s="545">
        <v>17669215</v>
      </c>
      <c r="BX80" s="546">
        <f t="shared" si="96"/>
        <v>17669.215</v>
      </c>
      <c r="BZ80" s="544" t="s">
        <v>558</v>
      </c>
      <c r="CA80" s="545">
        <v>338583</v>
      </c>
      <c r="CB80" s="545">
        <v>338583</v>
      </c>
      <c r="CC80" s="545">
        <v>338583</v>
      </c>
      <c r="CD80" s="545">
        <v>0</v>
      </c>
      <c r="CE80" s="545">
        <f t="shared" si="97"/>
        <v>338.58300000000003</v>
      </c>
      <c r="CF80" s="545">
        <f t="shared" si="98"/>
        <v>338.58300000000003</v>
      </c>
      <c r="CG80" s="545">
        <f t="shared" si="99"/>
        <v>338.58300000000003</v>
      </c>
      <c r="CH80" s="545">
        <f t="shared" si="100"/>
        <v>0</v>
      </c>
      <c r="CK80" s="547" t="s">
        <v>471</v>
      </c>
      <c r="CL80" s="546">
        <v>833190</v>
      </c>
      <c r="CM80" s="546">
        <f t="shared" si="101"/>
        <v>833.19</v>
      </c>
      <c r="CP80" s="547" t="s">
        <v>558</v>
      </c>
      <c r="CQ80" s="546">
        <v>622997</v>
      </c>
      <c r="CR80" s="546">
        <v>622997</v>
      </c>
      <c r="CS80" s="546">
        <v>622997</v>
      </c>
      <c r="CT80" s="546">
        <v>0</v>
      </c>
      <c r="CU80" s="546">
        <f t="shared" si="68"/>
        <v>622.99699999999996</v>
      </c>
      <c r="CV80" s="546">
        <f t="shared" si="69"/>
        <v>622.99699999999996</v>
      </c>
      <c r="CW80" s="546">
        <f t="shared" si="70"/>
        <v>622.99699999999996</v>
      </c>
      <c r="CX80" s="546">
        <f t="shared" si="71"/>
        <v>0</v>
      </c>
      <c r="CZ80" s="547" t="s">
        <v>386</v>
      </c>
      <c r="DA80" s="546">
        <v>48623049</v>
      </c>
      <c r="DB80" s="546">
        <f t="shared" si="102"/>
        <v>48623.048999999999</v>
      </c>
      <c r="DE80" s="544" t="s">
        <v>558</v>
      </c>
      <c r="DF80" s="545">
        <v>1313197</v>
      </c>
      <c r="DG80" s="545">
        <v>622997</v>
      </c>
      <c r="DH80" s="545">
        <v>1313197</v>
      </c>
      <c r="DI80" s="545">
        <v>0</v>
      </c>
      <c r="DJ80" s="546">
        <f t="shared" si="103"/>
        <v>1313.1969999999999</v>
      </c>
      <c r="DK80" s="546">
        <f t="shared" si="104"/>
        <v>622.99699999999996</v>
      </c>
      <c r="DL80" s="546">
        <f t="shared" si="105"/>
        <v>1313.1969999999999</v>
      </c>
      <c r="DM80" s="546">
        <f t="shared" si="106"/>
        <v>0</v>
      </c>
      <c r="DP80" s="544" t="s">
        <v>567</v>
      </c>
      <c r="DQ80" s="545">
        <v>131881</v>
      </c>
      <c r="DR80" s="546">
        <f t="shared" si="107"/>
        <v>131.881</v>
      </c>
      <c r="DT80" s="544" t="s">
        <v>558</v>
      </c>
      <c r="DU80" s="545">
        <v>1313197</v>
      </c>
      <c r="DV80" s="545">
        <v>622997</v>
      </c>
      <c r="DW80" s="545">
        <v>1313197</v>
      </c>
      <c r="DX80" s="545">
        <v>0</v>
      </c>
      <c r="DY80" s="546">
        <f t="shared" si="108"/>
        <v>1313.1969999999999</v>
      </c>
      <c r="DZ80" s="546">
        <f t="shared" si="109"/>
        <v>622.99699999999996</v>
      </c>
      <c r="EA80" s="546">
        <f t="shared" si="110"/>
        <v>1313.1969999999999</v>
      </c>
      <c r="EB80" s="546">
        <f t="shared" si="111"/>
        <v>0</v>
      </c>
      <c r="EE80" s="547" t="s">
        <v>389</v>
      </c>
      <c r="EF80" s="546">
        <v>54470191</v>
      </c>
      <c r="EG80" s="548">
        <f t="shared" si="112"/>
        <v>54470.190999999999</v>
      </c>
      <c r="EI80" s="547" t="s">
        <v>556</v>
      </c>
      <c r="EJ80" s="546">
        <v>2497643</v>
      </c>
      <c r="EK80" s="546">
        <v>2167061</v>
      </c>
      <c r="EL80" s="546">
        <v>692580</v>
      </c>
      <c r="EM80" s="548">
        <f t="shared" si="113"/>
        <v>2497.643</v>
      </c>
      <c r="EN80" s="548">
        <f t="shared" si="114"/>
        <v>2167.0610000000001</v>
      </c>
      <c r="EO80" s="548">
        <f t="shared" si="115"/>
        <v>692.58</v>
      </c>
      <c r="ER80" s="544" t="s">
        <v>472</v>
      </c>
      <c r="ES80" s="545">
        <v>4777716</v>
      </c>
      <c r="ET80" s="546">
        <f t="shared" si="116"/>
        <v>4777.7160000000003</v>
      </c>
      <c r="EW80" s="544" t="s">
        <v>557</v>
      </c>
      <c r="EX80" s="545">
        <v>0</v>
      </c>
      <c r="EY80" s="545">
        <v>4391011</v>
      </c>
      <c r="EZ80" s="545">
        <v>2251403</v>
      </c>
      <c r="FA80" s="545">
        <v>2251403</v>
      </c>
      <c r="FB80" s="545">
        <v>2139608</v>
      </c>
      <c r="FC80" s="546">
        <f t="shared" si="126"/>
        <v>0</v>
      </c>
      <c r="FD80" s="546">
        <f t="shared" si="127"/>
        <v>4391.0110000000004</v>
      </c>
      <c r="FE80" s="546">
        <f t="shared" si="128"/>
        <v>2251.4029999999998</v>
      </c>
      <c r="FF80" s="546">
        <f t="shared" si="129"/>
        <v>2251.4029999999998</v>
      </c>
      <c r="FG80" s="546">
        <f t="shared" si="130"/>
        <v>2139.6080000000002</v>
      </c>
      <c r="FJ80" s="547" t="s">
        <v>560</v>
      </c>
      <c r="FK80" s="546">
        <v>2337715</v>
      </c>
      <c r="FL80" s="548">
        <f t="shared" si="122"/>
        <v>2337.7150000000001</v>
      </c>
      <c r="FN80" s="549" t="s">
        <v>556</v>
      </c>
      <c r="FO80" s="550">
        <v>5287517</v>
      </c>
      <c r="FP80" s="550">
        <v>4830458</v>
      </c>
      <c r="FQ80" s="550">
        <v>5287517</v>
      </c>
      <c r="FR80" s="550">
        <f t="shared" si="123"/>
        <v>5287.5169999999998</v>
      </c>
      <c r="FS80" s="550">
        <f t="shared" si="124"/>
        <v>4830.4579999999996</v>
      </c>
      <c r="FT80" s="550">
        <f t="shared" si="125"/>
        <v>5287.5169999999998</v>
      </c>
    </row>
    <row r="81" spans="1:176" ht="15" customHeight="1" x14ac:dyDescent="0.25">
      <c r="A81" s="890" t="s">
        <v>889</v>
      </c>
      <c r="B81" s="544" t="s">
        <v>374</v>
      </c>
      <c r="C81" s="545">
        <v>0</v>
      </c>
      <c r="D81" s="545">
        <v>12410000</v>
      </c>
      <c r="E81" s="545">
        <v>10210000</v>
      </c>
      <c r="F81" s="545">
        <v>2200000</v>
      </c>
      <c r="G81" s="545">
        <v>501600</v>
      </c>
      <c r="H81" s="546">
        <f t="shared" si="72"/>
        <v>12931.220000000001</v>
      </c>
      <c r="I81" s="546">
        <f t="shared" si="73"/>
        <v>10638.82</v>
      </c>
      <c r="J81" s="546">
        <f t="shared" si="74"/>
        <v>2292.4</v>
      </c>
      <c r="K81" s="546">
        <f t="shared" si="75"/>
        <v>522.66720000000009</v>
      </c>
      <c r="O81" s="544" t="s">
        <v>852</v>
      </c>
      <c r="P81" s="545">
        <v>14217105</v>
      </c>
      <c r="Q81" s="546">
        <f t="shared" si="76"/>
        <v>14814.223410000001</v>
      </c>
      <c r="S81" s="544" t="s">
        <v>373</v>
      </c>
      <c r="T81" s="545">
        <v>168325000</v>
      </c>
      <c r="U81" s="545">
        <v>18907248</v>
      </c>
      <c r="V81" s="545">
        <v>125168952</v>
      </c>
      <c r="W81" s="545">
        <v>43156048</v>
      </c>
      <c r="X81" s="546">
        <f t="shared" si="77"/>
        <v>175394.65</v>
      </c>
      <c r="Y81" s="546">
        <f t="shared" si="78"/>
        <v>19701.352416000002</v>
      </c>
      <c r="Z81" s="546">
        <f t="shared" si="79"/>
        <v>130426.047984</v>
      </c>
      <c r="AA81" s="546">
        <f t="shared" si="80"/>
        <v>44968.602016000004</v>
      </c>
      <c r="AC81" s="544" t="s">
        <v>567</v>
      </c>
      <c r="AD81" s="545">
        <v>95879</v>
      </c>
      <c r="AE81" s="546">
        <f t="shared" si="81"/>
        <v>95.879000000000005</v>
      </c>
      <c r="AG81" s="544" t="s">
        <v>372</v>
      </c>
      <c r="AH81" s="545">
        <v>892500</v>
      </c>
      <c r="AI81" s="545">
        <v>892500</v>
      </c>
      <c r="AJ81" s="545">
        <v>892500</v>
      </c>
      <c r="AK81" s="545">
        <v>0</v>
      </c>
      <c r="AL81" s="545">
        <f t="shared" si="82"/>
        <v>892.5</v>
      </c>
      <c r="AM81" s="545">
        <f t="shared" si="83"/>
        <v>892.5</v>
      </c>
      <c r="AN81" s="545">
        <f t="shared" si="84"/>
        <v>892.5</v>
      </c>
      <c r="AO81" s="545">
        <f t="shared" si="85"/>
        <v>0</v>
      </c>
      <c r="AR81" s="544" t="s">
        <v>395</v>
      </c>
      <c r="AS81" s="545">
        <v>4692000</v>
      </c>
      <c r="AT81" s="545">
        <f t="shared" si="86"/>
        <v>4692</v>
      </c>
      <c r="AV81" s="544" t="s">
        <v>372</v>
      </c>
      <c r="AW81" s="545">
        <v>892500</v>
      </c>
      <c r="AX81" s="545">
        <v>892500</v>
      </c>
      <c r="AY81" s="545">
        <v>892500</v>
      </c>
      <c r="AZ81" s="545">
        <v>0</v>
      </c>
      <c r="BA81" s="546">
        <f t="shared" si="87"/>
        <v>892.5</v>
      </c>
      <c r="BB81" s="546">
        <f t="shared" si="88"/>
        <v>892.5</v>
      </c>
      <c r="BC81" s="546">
        <f t="shared" si="89"/>
        <v>892.5</v>
      </c>
      <c r="BD81" s="546">
        <f t="shared" si="90"/>
        <v>0</v>
      </c>
      <c r="BG81" s="544" t="s">
        <v>597</v>
      </c>
      <c r="BH81" s="545">
        <v>106480196</v>
      </c>
      <c r="BI81" s="545">
        <f t="shared" si="91"/>
        <v>106480.196</v>
      </c>
      <c r="BK81" s="544" t="s">
        <v>371</v>
      </c>
      <c r="BL81" s="545">
        <v>12563039</v>
      </c>
      <c r="BM81" s="545">
        <v>8839654</v>
      </c>
      <c r="BN81" s="545">
        <v>12470615</v>
      </c>
      <c r="BO81" s="545">
        <v>92424</v>
      </c>
      <c r="BP81" s="545">
        <f t="shared" si="92"/>
        <v>12563.039000000001</v>
      </c>
      <c r="BQ81" s="545">
        <f t="shared" si="93"/>
        <v>8839.6540000000005</v>
      </c>
      <c r="BR81" s="545">
        <f t="shared" si="94"/>
        <v>12470.615</v>
      </c>
      <c r="BS81" s="545">
        <f t="shared" si="95"/>
        <v>92.424000000000007</v>
      </c>
      <c r="BV81" s="544" t="s">
        <v>566</v>
      </c>
      <c r="BW81" s="545">
        <v>6677940</v>
      </c>
      <c r="BX81" s="546">
        <f t="shared" si="96"/>
        <v>6677.94</v>
      </c>
      <c r="BZ81" s="544" t="s">
        <v>371</v>
      </c>
      <c r="CA81" s="545">
        <v>12563039</v>
      </c>
      <c r="CB81" s="545">
        <v>12331644</v>
      </c>
      <c r="CC81" s="545">
        <v>12470615</v>
      </c>
      <c r="CD81" s="545">
        <v>92424</v>
      </c>
      <c r="CE81" s="545">
        <f t="shared" si="97"/>
        <v>12563.039000000001</v>
      </c>
      <c r="CF81" s="545">
        <f t="shared" si="98"/>
        <v>12331.644</v>
      </c>
      <c r="CG81" s="545">
        <f t="shared" si="99"/>
        <v>12470.615</v>
      </c>
      <c r="CH81" s="545">
        <f t="shared" si="100"/>
        <v>92.424000000000007</v>
      </c>
      <c r="CK81" s="547" t="s">
        <v>565</v>
      </c>
      <c r="CL81" s="546">
        <v>15565859</v>
      </c>
      <c r="CM81" s="546">
        <f t="shared" si="101"/>
        <v>15565.859</v>
      </c>
      <c r="CP81" s="547" t="s">
        <v>371</v>
      </c>
      <c r="CQ81" s="546">
        <v>14063039</v>
      </c>
      <c r="CR81" s="546">
        <v>12331644</v>
      </c>
      <c r="CS81" s="546">
        <v>12470615</v>
      </c>
      <c r="CT81" s="546">
        <v>1592424</v>
      </c>
      <c r="CU81" s="546">
        <f t="shared" si="68"/>
        <v>14063.039000000001</v>
      </c>
      <c r="CV81" s="546">
        <f t="shared" si="69"/>
        <v>12331.644</v>
      </c>
      <c r="CW81" s="546">
        <f t="shared" si="70"/>
        <v>12470.615</v>
      </c>
      <c r="CX81" s="546">
        <f t="shared" si="71"/>
        <v>1592.424</v>
      </c>
      <c r="CZ81" s="547" t="s">
        <v>387</v>
      </c>
      <c r="DA81" s="546">
        <v>6364199</v>
      </c>
      <c r="DB81" s="546">
        <f t="shared" si="102"/>
        <v>6364.1989999999996</v>
      </c>
      <c r="DE81" s="544" t="s">
        <v>371</v>
      </c>
      <c r="DF81" s="545">
        <v>14523061</v>
      </c>
      <c r="DG81" s="545">
        <v>13431641</v>
      </c>
      <c r="DH81" s="545">
        <v>13570612</v>
      </c>
      <c r="DI81" s="545">
        <v>952449</v>
      </c>
      <c r="DJ81" s="546">
        <f t="shared" si="103"/>
        <v>14523.061</v>
      </c>
      <c r="DK81" s="546">
        <f t="shared" si="104"/>
        <v>13431.641</v>
      </c>
      <c r="DL81" s="546">
        <f t="shared" si="105"/>
        <v>13570.611999999999</v>
      </c>
      <c r="DM81" s="546">
        <f t="shared" si="106"/>
        <v>952.44899999999996</v>
      </c>
      <c r="DP81" s="544" t="s">
        <v>388</v>
      </c>
      <c r="DQ81" s="545">
        <v>2546600</v>
      </c>
      <c r="DR81" s="546">
        <f t="shared" si="107"/>
        <v>2546.6</v>
      </c>
      <c r="DT81" s="544" t="s">
        <v>371</v>
      </c>
      <c r="DU81" s="545">
        <v>15268240</v>
      </c>
      <c r="DV81" s="545">
        <v>13570612</v>
      </c>
      <c r="DW81" s="545">
        <v>14315791</v>
      </c>
      <c r="DX81" s="545">
        <v>952449</v>
      </c>
      <c r="DY81" s="546">
        <f t="shared" si="108"/>
        <v>15268.24</v>
      </c>
      <c r="DZ81" s="546">
        <f t="shared" si="109"/>
        <v>13570.611999999999</v>
      </c>
      <c r="EA81" s="546">
        <f t="shared" si="110"/>
        <v>14315.790999999999</v>
      </c>
      <c r="EB81" s="546">
        <f t="shared" si="111"/>
        <v>952.44899999999996</v>
      </c>
      <c r="EE81" s="547" t="s">
        <v>390</v>
      </c>
      <c r="EF81" s="546">
        <v>40621712</v>
      </c>
      <c r="EG81" s="548">
        <f t="shared" si="112"/>
        <v>40621.712</v>
      </c>
      <c r="EI81" s="547" t="s">
        <v>557</v>
      </c>
      <c r="EJ81" s="546">
        <v>3503264</v>
      </c>
      <c r="EK81" s="546">
        <v>2251403</v>
      </c>
      <c r="EL81" s="546">
        <v>1487839</v>
      </c>
      <c r="EM81" s="548">
        <f t="shared" si="113"/>
        <v>3503.2640000000001</v>
      </c>
      <c r="EN81" s="548">
        <f t="shared" si="114"/>
        <v>2251.4029999999998</v>
      </c>
      <c r="EO81" s="548">
        <f t="shared" si="115"/>
        <v>1487.8389999999999</v>
      </c>
      <c r="ER81" s="544" t="s">
        <v>570</v>
      </c>
      <c r="ES81" s="545">
        <v>8141</v>
      </c>
      <c r="ET81" s="546">
        <f t="shared" si="116"/>
        <v>8.141</v>
      </c>
      <c r="EW81" s="544" t="s">
        <v>558</v>
      </c>
      <c r="EX81" s="545">
        <v>0</v>
      </c>
      <c r="EY81" s="545">
        <v>2396097</v>
      </c>
      <c r="EZ81" s="545">
        <v>2396097</v>
      </c>
      <c r="FA81" s="545">
        <v>2396097</v>
      </c>
      <c r="FB81" s="545">
        <v>0</v>
      </c>
      <c r="FC81" s="546">
        <f t="shared" si="126"/>
        <v>0</v>
      </c>
      <c r="FD81" s="546">
        <f t="shared" si="127"/>
        <v>2396.0970000000002</v>
      </c>
      <c r="FE81" s="546">
        <f t="shared" si="128"/>
        <v>2396.0970000000002</v>
      </c>
      <c r="FF81" s="546">
        <f t="shared" si="129"/>
        <v>2396.0970000000002</v>
      </c>
      <c r="FG81" s="546">
        <f t="shared" si="130"/>
        <v>0</v>
      </c>
      <c r="FJ81" s="547" t="s">
        <v>561</v>
      </c>
      <c r="FK81" s="546">
        <v>906590</v>
      </c>
      <c r="FL81" s="548">
        <f t="shared" si="122"/>
        <v>906.59</v>
      </c>
      <c r="FN81" s="549" t="s">
        <v>557</v>
      </c>
      <c r="FO81" s="550">
        <v>2898727</v>
      </c>
      <c r="FP81" s="550">
        <v>2748811</v>
      </c>
      <c r="FQ81" s="550">
        <v>2898727</v>
      </c>
      <c r="FR81" s="550">
        <f t="shared" si="123"/>
        <v>2898.7269999999999</v>
      </c>
      <c r="FS81" s="550">
        <f t="shared" si="124"/>
        <v>2748.8110000000001</v>
      </c>
      <c r="FT81" s="550">
        <f t="shared" si="125"/>
        <v>2898.7269999999999</v>
      </c>
    </row>
    <row r="82" spans="1:176" ht="15" customHeight="1" x14ac:dyDescent="0.25">
      <c r="A82" s="890" t="s">
        <v>889</v>
      </c>
      <c r="B82" s="544" t="s">
        <v>375</v>
      </c>
      <c r="C82" s="545">
        <v>0</v>
      </c>
      <c r="D82" s="545">
        <v>16715000</v>
      </c>
      <c r="E82" s="545">
        <v>13317491</v>
      </c>
      <c r="F82" s="545">
        <v>3397509</v>
      </c>
      <c r="G82" s="545">
        <v>148360</v>
      </c>
      <c r="H82" s="546">
        <f t="shared" si="72"/>
        <v>17417.03</v>
      </c>
      <c r="I82" s="546">
        <f t="shared" si="73"/>
        <v>13876.825622</v>
      </c>
      <c r="J82" s="546">
        <f t="shared" si="74"/>
        <v>3540.2043780000004</v>
      </c>
      <c r="K82" s="546">
        <f t="shared" si="75"/>
        <v>154.59112000000002</v>
      </c>
      <c r="O82" s="544" t="s">
        <v>580</v>
      </c>
      <c r="P82" s="545">
        <v>30556599</v>
      </c>
      <c r="Q82" s="546">
        <f t="shared" si="76"/>
        <v>31839.976157999998</v>
      </c>
      <c r="S82" s="544" t="s">
        <v>374</v>
      </c>
      <c r="T82" s="545">
        <v>12410000</v>
      </c>
      <c r="U82" s="545">
        <v>2229333</v>
      </c>
      <c r="V82" s="545">
        <v>11209600</v>
      </c>
      <c r="W82" s="545">
        <v>1200400</v>
      </c>
      <c r="X82" s="546">
        <f t="shared" si="77"/>
        <v>12931.220000000001</v>
      </c>
      <c r="Y82" s="546">
        <f t="shared" si="78"/>
        <v>2322.964986</v>
      </c>
      <c r="Z82" s="546">
        <f t="shared" si="79"/>
        <v>11680.403200000001</v>
      </c>
      <c r="AA82" s="546">
        <f t="shared" si="80"/>
        <v>1250.8168000000001</v>
      </c>
      <c r="AC82" s="544" t="s">
        <v>388</v>
      </c>
      <c r="AD82" s="545">
        <v>4398808</v>
      </c>
      <c r="AE82" s="546">
        <f t="shared" si="81"/>
        <v>4398.808</v>
      </c>
      <c r="AG82" s="544" t="s">
        <v>373</v>
      </c>
      <c r="AH82" s="545">
        <v>174077082</v>
      </c>
      <c r="AI82" s="545">
        <v>33820452</v>
      </c>
      <c r="AJ82" s="545">
        <v>125168952</v>
      </c>
      <c r="AK82" s="545">
        <v>48908130</v>
      </c>
      <c r="AL82" s="545">
        <f t="shared" si="82"/>
        <v>174077.08199999999</v>
      </c>
      <c r="AM82" s="545">
        <f t="shared" si="83"/>
        <v>33820.451999999997</v>
      </c>
      <c r="AN82" s="545">
        <f t="shared" si="84"/>
        <v>125168.952</v>
      </c>
      <c r="AO82" s="545">
        <f t="shared" si="85"/>
        <v>48908.13</v>
      </c>
      <c r="AR82" s="544" t="s">
        <v>572</v>
      </c>
      <c r="AS82" s="545">
        <v>1172307</v>
      </c>
      <c r="AT82" s="545">
        <f t="shared" si="86"/>
        <v>1172.307</v>
      </c>
      <c r="AV82" s="544" t="s">
        <v>373</v>
      </c>
      <c r="AW82" s="545">
        <v>174077082</v>
      </c>
      <c r="AX82" s="545">
        <v>40001463</v>
      </c>
      <c r="AY82" s="545">
        <v>125168952</v>
      </c>
      <c r="AZ82" s="545">
        <v>48908130</v>
      </c>
      <c r="BA82" s="546">
        <f t="shared" si="87"/>
        <v>174077.08199999999</v>
      </c>
      <c r="BB82" s="546">
        <f t="shared" si="88"/>
        <v>40001.463000000003</v>
      </c>
      <c r="BC82" s="546">
        <f t="shared" si="89"/>
        <v>125168.952</v>
      </c>
      <c r="BD82" s="546">
        <f t="shared" si="90"/>
        <v>48908.13</v>
      </c>
      <c r="BG82" s="544" t="s">
        <v>598</v>
      </c>
      <c r="BH82" s="545">
        <v>106480196</v>
      </c>
      <c r="BI82" s="545">
        <f t="shared" si="91"/>
        <v>106480.196</v>
      </c>
      <c r="BK82" s="544" t="s">
        <v>372</v>
      </c>
      <c r="BL82" s="545">
        <v>1106700</v>
      </c>
      <c r="BM82" s="545">
        <v>892500</v>
      </c>
      <c r="BN82" s="545">
        <v>892500</v>
      </c>
      <c r="BO82" s="545">
        <v>214200</v>
      </c>
      <c r="BP82" s="545">
        <f>+BL82/$BR$1*$BS$1+800</f>
        <v>1906.7</v>
      </c>
      <c r="BQ82" s="545">
        <f t="shared" si="93"/>
        <v>892.5</v>
      </c>
      <c r="BR82" s="545">
        <f t="shared" si="94"/>
        <v>892.5</v>
      </c>
      <c r="BS82" s="545">
        <f t="shared" si="95"/>
        <v>214.2</v>
      </c>
      <c r="BV82" s="544" t="s">
        <v>388</v>
      </c>
      <c r="BW82" s="545">
        <v>88036106</v>
      </c>
      <c r="BX82" s="546">
        <f t="shared" si="96"/>
        <v>88036.106</v>
      </c>
      <c r="BZ82" s="544" t="s">
        <v>372</v>
      </c>
      <c r="CA82" s="545">
        <v>1106700</v>
      </c>
      <c r="CB82" s="545">
        <v>892500</v>
      </c>
      <c r="CC82" s="545">
        <v>892500</v>
      </c>
      <c r="CD82" s="545">
        <v>214200</v>
      </c>
      <c r="CE82" s="545">
        <f t="shared" si="97"/>
        <v>1106.7</v>
      </c>
      <c r="CF82" s="545">
        <f t="shared" si="98"/>
        <v>892.5</v>
      </c>
      <c r="CG82" s="545">
        <f t="shared" si="99"/>
        <v>892.5</v>
      </c>
      <c r="CH82" s="545">
        <f t="shared" si="100"/>
        <v>214.2</v>
      </c>
      <c r="CK82" s="547" t="s">
        <v>566</v>
      </c>
      <c r="CL82" s="546">
        <v>5566862</v>
      </c>
      <c r="CM82" s="546">
        <f t="shared" si="101"/>
        <v>5566.8620000000001</v>
      </c>
      <c r="CP82" s="547" t="s">
        <v>372</v>
      </c>
      <c r="CQ82" s="546">
        <v>1106700</v>
      </c>
      <c r="CR82" s="546">
        <v>892500</v>
      </c>
      <c r="CS82" s="546">
        <v>892500</v>
      </c>
      <c r="CT82" s="546">
        <v>214200</v>
      </c>
      <c r="CU82" s="546">
        <f t="shared" si="68"/>
        <v>1106.7</v>
      </c>
      <c r="CV82" s="546">
        <f t="shared" si="69"/>
        <v>892.5</v>
      </c>
      <c r="CW82" s="546">
        <f t="shared" si="70"/>
        <v>892.5</v>
      </c>
      <c r="CX82" s="546">
        <f t="shared" si="71"/>
        <v>214.2</v>
      </c>
      <c r="CZ82" s="547" t="s">
        <v>471</v>
      </c>
      <c r="DA82" s="546">
        <v>833190</v>
      </c>
      <c r="DB82" s="546">
        <f t="shared" si="102"/>
        <v>833.19</v>
      </c>
      <c r="DE82" s="544" t="s">
        <v>372</v>
      </c>
      <c r="DF82" s="545">
        <v>1174060</v>
      </c>
      <c r="DG82" s="545">
        <v>959860</v>
      </c>
      <c r="DH82" s="545">
        <v>959860</v>
      </c>
      <c r="DI82" s="545">
        <v>214200</v>
      </c>
      <c r="DJ82" s="546">
        <f t="shared" si="103"/>
        <v>1174.06</v>
      </c>
      <c r="DK82" s="546">
        <f t="shared" si="104"/>
        <v>959.86</v>
      </c>
      <c r="DL82" s="546">
        <f t="shared" si="105"/>
        <v>959.86</v>
      </c>
      <c r="DM82" s="546">
        <f t="shared" si="106"/>
        <v>214.2</v>
      </c>
      <c r="DP82" s="544" t="s">
        <v>389</v>
      </c>
      <c r="DQ82" s="545">
        <v>267682679</v>
      </c>
      <c r="DR82" s="546">
        <f t="shared" si="107"/>
        <v>267682.679</v>
      </c>
      <c r="DT82" s="544" t="s">
        <v>372</v>
      </c>
      <c r="DU82" s="545">
        <v>1340660</v>
      </c>
      <c r="DV82" s="545">
        <v>959860</v>
      </c>
      <c r="DW82" s="545">
        <v>1126460</v>
      </c>
      <c r="DX82" s="545">
        <v>214200</v>
      </c>
      <c r="DY82" s="546">
        <f t="shared" si="108"/>
        <v>1340.66</v>
      </c>
      <c r="DZ82" s="546">
        <f t="shared" si="109"/>
        <v>959.86</v>
      </c>
      <c r="EA82" s="546">
        <f t="shared" si="110"/>
        <v>1126.46</v>
      </c>
      <c r="EB82" s="546">
        <f t="shared" si="111"/>
        <v>214.2</v>
      </c>
      <c r="EE82" s="547" t="s">
        <v>568</v>
      </c>
      <c r="EF82" s="546">
        <v>2061618</v>
      </c>
      <c r="EG82" s="548">
        <f t="shared" si="112"/>
        <v>2061.6179999999999</v>
      </c>
      <c r="EI82" s="547" t="s">
        <v>558</v>
      </c>
      <c r="EJ82" s="546">
        <v>1321297</v>
      </c>
      <c r="EK82" s="546">
        <v>1313197</v>
      </c>
      <c r="EL82" s="546">
        <v>1313197</v>
      </c>
      <c r="EM82" s="548">
        <f t="shared" si="113"/>
        <v>1321.297</v>
      </c>
      <c r="EN82" s="548">
        <f t="shared" si="114"/>
        <v>1313.1969999999999</v>
      </c>
      <c r="EO82" s="548">
        <f t="shared" si="115"/>
        <v>1313.1969999999999</v>
      </c>
      <c r="ER82" s="544" t="s">
        <v>481</v>
      </c>
      <c r="ES82" s="545">
        <v>8141</v>
      </c>
      <c r="ET82" s="546">
        <f t="shared" si="116"/>
        <v>8.141</v>
      </c>
      <c r="EW82" s="544" t="s">
        <v>371</v>
      </c>
      <c r="EX82" s="545">
        <v>0</v>
      </c>
      <c r="EY82" s="545">
        <v>17101747</v>
      </c>
      <c r="EZ82" s="545">
        <v>16888354</v>
      </c>
      <c r="FA82" s="545">
        <v>17101747</v>
      </c>
      <c r="FB82" s="545">
        <v>0</v>
      </c>
      <c r="FC82" s="546">
        <f t="shared" si="126"/>
        <v>0</v>
      </c>
      <c r="FD82" s="546">
        <f t="shared" si="127"/>
        <v>17101.746999999999</v>
      </c>
      <c r="FE82" s="546">
        <f t="shared" si="128"/>
        <v>16888.353999999999</v>
      </c>
      <c r="FF82" s="546">
        <f t="shared" si="129"/>
        <v>17101.746999999999</v>
      </c>
      <c r="FG82" s="546">
        <f t="shared" si="130"/>
        <v>0</v>
      </c>
      <c r="FJ82" s="547" t="s">
        <v>563</v>
      </c>
      <c r="FK82" s="546">
        <v>428400</v>
      </c>
      <c r="FL82" s="548">
        <f t="shared" si="122"/>
        <v>428.4</v>
      </c>
      <c r="FN82" s="549" t="s">
        <v>558</v>
      </c>
      <c r="FO82" s="550">
        <v>2466097</v>
      </c>
      <c r="FP82" s="550">
        <v>2466097</v>
      </c>
      <c r="FQ82" s="550">
        <v>2466097</v>
      </c>
      <c r="FR82" s="550">
        <f t="shared" si="123"/>
        <v>2466.0970000000002</v>
      </c>
      <c r="FS82" s="550">
        <f t="shared" si="124"/>
        <v>2466.0970000000002</v>
      </c>
      <c r="FT82" s="550">
        <f t="shared" si="125"/>
        <v>2466.0970000000002</v>
      </c>
    </row>
    <row r="83" spans="1:176" ht="15" customHeight="1" x14ac:dyDescent="0.25">
      <c r="A83" s="890" t="s">
        <v>889</v>
      </c>
      <c r="B83" s="544" t="s">
        <v>376</v>
      </c>
      <c r="C83" s="545">
        <v>0</v>
      </c>
      <c r="D83" s="545">
        <v>2300000</v>
      </c>
      <c r="E83" s="545">
        <v>1600000</v>
      </c>
      <c r="F83" s="545">
        <v>700000</v>
      </c>
      <c r="G83" s="545">
        <v>0</v>
      </c>
      <c r="H83" s="546">
        <f t="shared" si="72"/>
        <v>2396.6</v>
      </c>
      <c r="I83" s="546">
        <f t="shared" si="73"/>
        <v>1667.2</v>
      </c>
      <c r="J83" s="546">
        <f t="shared" si="74"/>
        <v>729.4</v>
      </c>
      <c r="K83" s="546">
        <f t="shared" si="75"/>
        <v>0</v>
      </c>
      <c r="O83" s="544" t="s">
        <v>774</v>
      </c>
      <c r="P83" s="545">
        <v>22456599</v>
      </c>
      <c r="Q83" s="546">
        <f t="shared" si="76"/>
        <v>23399.776158000001</v>
      </c>
      <c r="S83" s="544" t="s">
        <v>375</v>
      </c>
      <c r="T83" s="545">
        <v>16715000</v>
      </c>
      <c r="U83" s="545">
        <v>1303424</v>
      </c>
      <c r="V83" s="545">
        <v>13317491</v>
      </c>
      <c r="W83" s="545">
        <v>3397509</v>
      </c>
      <c r="X83" s="546">
        <f t="shared" si="77"/>
        <v>17417.03</v>
      </c>
      <c r="Y83" s="546">
        <f t="shared" si="78"/>
        <v>1358.1678079999999</v>
      </c>
      <c r="Z83" s="546">
        <f t="shared" si="79"/>
        <v>13876.825622</v>
      </c>
      <c r="AA83" s="546">
        <f t="shared" si="80"/>
        <v>3540.2043780000004</v>
      </c>
      <c r="AC83" s="544" t="s">
        <v>389</v>
      </c>
      <c r="AD83" s="545">
        <v>58020648</v>
      </c>
      <c r="AE83" s="546">
        <f t="shared" si="81"/>
        <v>58020.648000000001</v>
      </c>
      <c r="AG83" s="544" t="s">
        <v>374</v>
      </c>
      <c r="AH83" s="545">
        <v>12410000</v>
      </c>
      <c r="AI83" s="545">
        <v>2900039</v>
      </c>
      <c r="AJ83" s="545">
        <v>11209600</v>
      </c>
      <c r="AK83" s="545">
        <v>1200400</v>
      </c>
      <c r="AL83" s="545">
        <f t="shared" si="82"/>
        <v>12410</v>
      </c>
      <c r="AM83" s="545">
        <f t="shared" si="83"/>
        <v>2900.0390000000002</v>
      </c>
      <c r="AN83" s="545">
        <f t="shared" si="84"/>
        <v>11209.6</v>
      </c>
      <c r="AO83" s="545">
        <f t="shared" si="85"/>
        <v>1200.4000000000001</v>
      </c>
      <c r="AR83" s="544" t="s">
        <v>396</v>
      </c>
      <c r="AS83" s="545">
        <v>1172307</v>
      </c>
      <c r="AT83" s="545">
        <f t="shared" si="86"/>
        <v>1172.307</v>
      </c>
      <c r="AV83" s="544" t="s">
        <v>374</v>
      </c>
      <c r="AW83" s="545">
        <v>12410000</v>
      </c>
      <c r="AX83" s="545">
        <v>3744456</v>
      </c>
      <c r="AY83" s="545">
        <v>11209600</v>
      </c>
      <c r="AZ83" s="545">
        <v>1200400</v>
      </c>
      <c r="BA83" s="546">
        <f t="shared" si="87"/>
        <v>12410</v>
      </c>
      <c r="BB83" s="546">
        <f t="shared" si="88"/>
        <v>3744.4560000000001</v>
      </c>
      <c r="BC83" s="546">
        <f t="shared" si="89"/>
        <v>11209.6</v>
      </c>
      <c r="BD83" s="546">
        <f t="shared" si="90"/>
        <v>1200.4000000000001</v>
      </c>
      <c r="BG83" s="544" t="s">
        <v>852</v>
      </c>
      <c r="BH83" s="545">
        <v>106480196</v>
      </c>
      <c r="BI83" s="545">
        <f t="shared" si="91"/>
        <v>106480.196</v>
      </c>
      <c r="BK83" s="544" t="s">
        <v>373</v>
      </c>
      <c r="BL83" s="545">
        <v>170673836</v>
      </c>
      <c r="BM83" s="545">
        <v>46675776</v>
      </c>
      <c r="BN83" s="545">
        <v>125612901</v>
      </c>
      <c r="BO83" s="545">
        <v>45060935</v>
      </c>
      <c r="BP83" s="545">
        <f t="shared" si="92"/>
        <v>170673.83600000001</v>
      </c>
      <c r="BQ83" s="545">
        <f t="shared" si="93"/>
        <v>46675.775999999998</v>
      </c>
      <c r="BR83" s="545">
        <f t="shared" si="94"/>
        <v>125612.901</v>
      </c>
      <c r="BS83" s="545">
        <f t="shared" si="95"/>
        <v>45060.934999999998</v>
      </c>
      <c r="BV83" s="544" t="s">
        <v>389</v>
      </c>
      <c r="BW83" s="545">
        <v>30815344</v>
      </c>
      <c r="BX83" s="546">
        <f t="shared" si="96"/>
        <v>30815.344000000001</v>
      </c>
      <c r="BZ83" s="544" t="s">
        <v>373</v>
      </c>
      <c r="CA83" s="545">
        <v>171823836</v>
      </c>
      <c r="CB83" s="545">
        <v>53956697</v>
      </c>
      <c r="CC83" s="545">
        <v>160580331</v>
      </c>
      <c r="CD83" s="545">
        <v>11243505</v>
      </c>
      <c r="CE83" s="545">
        <f t="shared" si="97"/>
        <v>171823.83600000001</v>
      </c>
      <c r="CF83" s="545">
        <f t="shared" si="98"/>
        <v>53956.697</v>
      </c>
      <c r="CG83" s="545">
        <f t="shared" si="99"/>
        <v>160580.33100000001</v>
      </c>
      <c r="CH83" s="545">
        <f t="shared" si="100"/>
        <v>11243.504999999999</v>
      </c>
      <c r="CK83" s="547" t="s">
        <v>388</v>
      </c>
      <c r="CL83" s="546">
        <v>139157946</v>
      </c>
      <c r="CM83" s="546">
        <f t="shared" si="101"/>
        <v>139157.946</v>
      </c>
      <c r="CP83" s="547" t="s">
        <v>373</v>
      </c>
      <c r="CQ83" s="546">
        <v>172882936</v>
      </c>
      <c r="CR83" s="546">
        <v>59297857</v>
      </c>
      <c r="CS83" s="546">
        <v>162604613</v>
      </c>
      <c r="CT83" s="546">
        <v>10278323</v>
      </c>
      <c r="CU83" s="546">
        <f t="shared" si="68"/>
        <v>172882.93599999999</v>
      </c>
      <c r="CV83" s="546">
        <f t="shared" si="69"/>
        <v>59297.857000000004</v>
      </c>
      <c r="CW83" s="546">
        <f t="shared" si="70"/>
        <v>162604.61300000001</v>
      </c>
      <c r="CX83" s="546">
        <f t="shared" si="71"/>
        <v>10278.323</v>
      </c>
      <c r="CZ83" s="547" t="s">
        <v>565</v>
      </c>
      <c r="DA83" s="546">
        <v>10192367</v>
      </c>
      <c r="DB83" s="546">
        <f t="shared" si="102"/>
        <v>10192.367</v>
      </c>
      <c r="DE83" s="544" t="s">
        <v>373</v>
      </c>
      <c r="DF83" s="545">
        <v>180154084</v>
      </c>
      <c r="DG83" s="545">
        <v>64934213</v>
      </c>
      <c r="DH83" s="545">
        <v>167004613</v>
      </c>
      <c r="DI83" s="545">
        <v>13149471</v>
      </c>
      <c r="DJ83" s="546">
        <f t="shared" si="103"/>
        <v>180154.084</v>
      </c>
      <c r="DK83" s="546">
        <f t="shared" si="104"/>
        <v>64934.213000000003</v>
      </c>
      <c r="DL83" s="546">
        <f t="shared" si="105"/>
        <v>167004.61300000001</v>
      </c>
      <c r="DM83" s="546">
        <f t="shared" si="106"/>
        <v>13149.471</v>
      </c>
      <c r="DP83" s="544" t="s">
        <v>390</v>
      </c>
      <c r="DQ83" s="545">
        <v>251659426</v>
      </c>
      <c r="DR83" s="546">
        <f t="shared" si="107"/>
        <v>251659.42600000001</v>
      </c>
      <c r="DT83" s="544" t="s">
        <v>373</v>
      </c>
      <c r="DU83" s="545">
        <v>181235015</v>
      </c>
      <c r="DV83" s="545">
        <v>85079877</v>
      </c>
      <c r="DW83" s="545">
        <v>165624249</v>
      </c>
      <c r="DX83" s="545">
        <v>15610766</v>
      </c>
      <c r="DY83" s="546">
        <f t="shared" si="108"/>
        <v>181235.01500000001</v>
      </c>
      <c r="DZ83" s="546">
        <f t="shared" si="109"/>
        <v>85079.876999999993</v>
      </c>
      <c r="EA83" s="546">
        <f t="shared" si="110"/>
        <v>165624.24900000001</v>
      </c>
      <c r="EB83" s="546">
        <f t="shared" si="111"/>
        <v>15610.766</v>
      </c>
      <c r="EE83" s="547" t="s">
        <v>569</v>
      </c>
      <c r="EF83" s="546">
        <v>9398003</v>
      </c>
      <c r="EG83" s="548">
        <f t="shared" si="112"/>
        <v>9398.0030000000006</v>
      </c>
      <c r="EI83" s="547" t="s">
        <v>371</v>
      </c>
      <c r="EJ83" s="546">
        <v>16972600</v>
      </c>
      <c r="EK83" s="546">
        <v>15403290</v>
      </c>
      <c r="EL83" s="546">
        <v>14315791</v>
      </c>
      <c r="EM83" s="548">
        <f t="shared" si="113"/>
        <v>16972.599999999999</v>
      </c>
      <c r="EN83" s="548">
        <f t="shared" si="114"/>
        <v>15403.29</v>
      </c>
      <c r="EO83" s="548">
        <f t="shared" si="115"/>
        <v>14315.790999999999</v>
      </c>
      <c r="ER83" s="544" t="s">
        <v>571</v>
      </c>
      <c r="ES83" s="545">
        <v>279321299</v>
      </c>
      <c r="ET83" s="546">
        <f t="shared" si="116"/>
        <v>279321.299</v>
      </c>
      <c r="EW83" s="544" t="s">
        <v>372</v>
      </c>
      <c r="EX83" s="545">
        <v>0</v>
      </c>
      <c r="EY83" s="545">
        <v>3882340</v>
      </c>
      <c r="EZ83" s="545">
        <v>1126460</v>
      </c>
      <c r="FA83" s="545">
        <v>3763340</v>
      </c>
      <c r="FB83" s="545">
        <v>119000</v>
      </c>
      <c r="FC83" s="546">
        <f t="shared" si="126"/>
        <v>0</v>
      </c>
      <c r="FD83" s="546">
        <f t="shared" si="127"/>
        <v>3882.34</v>
      </c>
      <c r="FE83" s="546">
        <f t="shared" si="128"/>
        <v>1126.46</v>
      </c>
      <c r="FF83" s="546">
        <f t="shared" si="129"/>
        <v>3763.34</v>
      </c>
      <c r="FG83" s="546">
        <f t="shared" si="130"/>
        <v>119</v>
      </c>
      <c r="FJ83" s="547" t="s">
        <v>564</v>
      </c>
      <c r="FK83" s="546">
        <v>543491</v>
      </c>
      <c r="FL83" s="548">
        <f t="shared" si="122"/>
        <v>543.49099999999999</v>
      </c>
      <c r="FN83" s="549" t="s">
        <v>371</v>
      </c>
      <c r="FO83" s="550">
        <v>17101747</v>
      </c>
      <c r="FP83" s="550">
        <v>17101747</v>
      </c>
      <c r="FQ83" s="550">
        <v>17101747</v>
      </c>
      <c r="FR83" s="550">
        <f t="shared" si="123"/>
        <v>17101.746999999999</v>
      </c>
      <c r="FS83" s="550">
        <f t="shared" si="124"/>
        <v>17101.746999999999</v>
      </c>
      <c r="FT83" s="550">
        <f t="shared" si="125"/>
        <v>17101.746999999999</v>
      </c>
    </row>
    <row r="84" spans="1:176" ht="15" customHeight="1" x14ac:dyDescent="0.25">
      <c r="A84" s="890" t="s">
        <v>889</v>
      </c>
      <c r="B84" s="544" t="s">
        <v>377</v>
      </c>
      <c r="C84" s="545">
        <v>0</v>
      </c>
      <c r="D84" s="545">
        <v>18000000</v>
      </c>
      <c r="E84" s="545">
        <v>0</v>
      </c>
      <c r="F84" s="545">
        <v>18000000</v>
      </c>
      <c r="G84" s="545">
        <v>0</v>
      </c>
      <c r="H84" s="546">
        <f t="shared" si="72"/>
        <v>18756</v>
      </c>
      <c r="I84" s="546">
        <f t="shared" si="73"/>
        <v>0</v>
      </c>
      <c r="J84" s="546">
        <f t="shared" si="74"/>
        <v>18756</v>
      </c>
      <c r="K84" s="546">
        <f t="shared" si="75"/>
        <v>0</v>
      </c>
      <c r="O84" s="544" t="s">
        <v>401</v>
      </c>
      <c r="P84" s="545">
        <v>8100000</v>
      </c>
      <c r="Q84" s="546">
        <f t="shared" si="76"/>
        <v>8440.2000000000007</v>
      </c>
      <c r="S84" s="544" t="s">
        <v>376</v>
      </c>
      <c r="T84" s="545">
        <v>2300000</v>
      </c>
      <c r="U84" s="545">
        <v>74800</v>
      </c>
      <c r="V84" s="545">
        <v>1600000</v>
      </c>
      <c r="W84" s="545">
        <v>700000</v>
      </c>
      <c r="X84" s="546">
        <f t="shared" si="77"/>
        <v>2396.6</v>
      </c>
      <c r="Y84" s="546">
        <f t="shared" si="78"/>
        <v>77.941599999999994</v>
      </c>
      <c r="Z84" s="546">
        <f t="shared" si="79"/>
        <v>1667.2</v>
      </c>
      <c r="AA84" s="546">
        <f t="shared" si="80"/>
        <v>729.4</v>
      </c>
      <c r="AC84" s="544" t="s">
        <v>390</v>
      </c>
      <c r="AD84" s="545">
        <v>50786046</v>
      </c>
      <c r="AE84" s="546">
        <f t="shared" si="81"/>
        <v>50786.046000000002</v>
      </c>
      <c r="AG84" s="544" t="s">
        <v>375</v>
      </c>
      <c r="AH84" s="545">
        <v>16715000</v>
      </c>
      <c r="AI84" s="545">
        <v>2388232</v>
      </c>
      <c r="AJ84" s="545">
        <v>13317491</v>
      </c>
      <c r="AK84" s="545">
        <v>3397509</v>
      </c>
      <c r="AL84" s="545">
        <f t="shared" si="82"/>
        <v>16715</v>
      </c>
      <c r="AM84" s="545">
        <f t="shared" si="83"/>
        <v>2388.232</v>
      </c>
      <c r="AN84" s="545">
        <f t="shared" si="84"/>
        <v>13317.491</v>
      </c>
      <c r="AO84" s="545">
        <f t="shared" si="85"/>
        <v>3397.509</v>
      </c>
      <c r="AR84" s="544" t="s">
        <v>398</v>
      </c>
      <c r="AS84" s="545">
        <v>6311431</v>
      </c>
      <c r="AT84" s="545">
        <f t="shared" si="86"/>
        <v>6311.4309999999996</v>
      </c>
      <c r="AV84" s="544" t="s">
        <v>375</v>
      </c>
      <c r="AW84" s="545">
        <v>16715000</v>
      </c>
      <c r="AX84" s="545">
        <v>3411245</v>
      </c>
      <c r="AY84" s="545">
        <v>13317491</v>
      </c>
      <c r="AZ84" s="545">
        <v>3397509</v>
      </c>
      <c r="BA84" s="546">
        <f t="shared" si="87"/>
        <v>16715</v>
      </c>
      <c r="BB84" s="546">
        <f t="shared" si="88"/>
        <v>3411.2449999999999</v>
      </c>
      <c r="BC84" s="546">
        <f t="shared" si="89"/>
        <v>13317.491</v>
      </c>
      <c r="BD84" s="546">
        <f t="shared" si="90"/>
        <v>3397.509</v>
      </c>
      <c r="BK84" s="544" t="s">
        <v>374</v>
      </c>
      <c r="BL84" s="545">
        <v>12410000</v>
      </c>
      <c r="BM84" s="545">
        <v>4655456</v>
      </c>
      <c r="BN84" s="545">
        <v>11209600</v>
      </c>
      <c r="BO84" s="545">
        <v>1200400</v>
      </c>
      <c r="BP84" s="545">
        <f t="shared" si="92"/>
        <v>12410</v>
      </c>
      <c r="BQ84" s="545">
        <f t="shared" si="93"/>
        <v>4655.4560000000001</v>
      </c>
      <c r="BR84" s="545">
        <f t="shared" si="94"/>
        <v>11209.6</v>
      </c>
      <c r="BS84" s="545">
        <f t="shared" si="95"/>
        <v>1200.4000000000001</v>
      </c>
      <c r="BV84" s="544" t="s">
        <v>390</v>
      </c>
      <c r="BW84" s="545">
        <v>16601111</v>
      </c>
      <c r="BX84" s="546">
        <f t="shared" si="96"/>
        <v>16601.111000000001</v>
      </c>
      <c r="BZ84" s="544" t="s">
        <v>374</v>
      </c>
      <c r="CA84" s="545">
        <v>11410000</v>
      </c>
      <c r="CB84" s="545">
        <v>5405791</v>
      </c>
      <c r="CC84" s="545">
        <v>11209600</v>
      </c>
      <c r="CD84" s="545">
        <v>200400</v>
      </c>
      <c r="CE84" s="545">
        <f t="shared" si="97"/>
        <v>11410</v>
      </c>
      <c r="CF84" s="545">
        <f t="shared" si="98"/>
        <v>5405.7910000000002</v>
      </c>
      <c r="CG84" s="545">
        <f t="shared" si="99"/>
        <v>11209.6</v>
      </c>
      <c r="CH84" s="545">
        <f t="shared" si="100"/>
        <v>200.4</v>
      </c>
      <c r="CK84" s="547" t="s">
        <v>389</v>
      </c>
      <c r="CL84" s="546">
        <v>123829082</v>
      </c>
      <c r="CM84" s="546">
        <f t="shared" si="101"/>
        <v>123829.08199999999</v>
      </c>
      <c r="CP84" s="547" t="s">
        <v>374</v>
      </c>
      <c r="CQ84" s="546">
        <v>11410000</v>
      </c>
      <c r="CR84" s="546">
        <v>6470103</v>
      </c>
      <c r="CS84" s="546">
        <v>11209600</v>
      </c>
      <c r="CT84" s="546">
        <v>200400</v>
      </c>
      <c r="CU84" s="546">
        <f t="shared" si="68"/>
        <v>11410</v>
      </c>
      <c r="CV84" s="546">
        <f t="shared" si="69"/>
        <v>6470.1030000000001</v>
      </c>
      <c r="CW84" s="546">
        <f t="shared" si="70"/>
        <v>11209.6</v>
      </c>
      <c r="CX84" s="546">
        <f t="shared" si="71"/>
        <v>200.4</v>
      </c>
      <c r="CZ84" s="547" t="s">
        <v>566</v>
      </c>
      <c r="DA84" s="546">
        <v>6110000</v>
      </c>
      <c r="DB84" s="546">
        <f t="shared" si="102"/>
        <v>6110</v>
      </c>
      <c r="DE84" s="544" t="s">
        <v>374</v>
      </c>
      <c r="DF84" s="545">
        <v>12810000</v>
      </c>
      <c r="DG84" s="545">
        <v>8554703</v>
      </c>
      <c r="DH84" s="545">
        <v>12609600</v>
      </c>
      <c r="DI84" s="545">
        <v>200400</v>
      </c>
      <c r="DJ84" s="546">
        <f t="shared" si="103"/>
        <v>12810</v>
      </c>
      <c r="DK84" s="546">
        <f t="shared" si="104"/>
        <v>8554.7029999999995</v>
      </c>
      <c r="DL84" s="546">
        <f t="shared" si="105"/>
        <v>12609.6</v>
      </c>
      <c r="DM84" s="546">
        <f t="shared" si="106"/>
        <v>200.4</v>
      </c>
      <c r="DP84" s="544" t="s">
        <v>568</v>
      </c>
      <c r="DQ84" s="545">
        <v>4140487</v>
      </c>
      <c r="DR84" s="546">
        <f t="shared" si="107"/>
        <v>4140.4870000000001</v>
      </c>
      <c r="DT84" s="544" t="s">
        <v>374</v>
      </c>
      <c r="DU84" s="545">
        <v>13822931</v>
      </c>
      <c r="DV84" s="545">
        <v>9964231</v>
      </c>
      <c r="DW84" s="545">
        <v>13622531</v>
      </c>
      <c r="DX84" s="545">
        <v>200400</v>
      </c>
      <c r="DY84" s="546">
        <f t="shared" si="108"/>
        <v>13822.931</v>
      </c>
      <c r="DZ84" s="546">
        <f t="shared" si="109"/>
        <v>9964.2309999999998</v>
      </c>
      <c r="EA84" s="546">
        <f t="shared" si="110"/>
        <v>13622.531000000001</v>
      </c>
      <c r="EB84" s="546">
        <f t="shared" si="111"/>
        <v>200.4</v>
      </c>
      <c r="EE84" s="547" t="s">
        <v>472</v>
      </c>
      <c r="EF84" s="546">
        <v>2388858</v>
      </c>
      <c r="EG84" s="548">
        <f t="shared" si="112"/>
        <v>2388.8580000000002</v>
      </c>
      <c r="EI84" s="547" t="s">
        <v>372</v>
      </c>
      <c r="EJ84" s="546">
        <v>1340660</v>
      </c>
      <c r="EK84" s="546">
        <v>1126460</v>
      </c>
      <c r="EL84" s="546">
        <v>1126460</v>
      </c>
      <c r="EM84" s="548">
        <f>EJ84/$EN$1*$EO$1</f>
        <v>1340.66</v>
      </c>
      <c r="EN84" s="548">
        <f t="shared" si="114"/>
        <v>1126.46</v>
      </c>
      <c r="EO84" s="548">
        <f t="shared" si="115"/>
        <v>1126.46</v>
      </c>
      <c r="ER84" s="544" t="s">
        <v>392</v>
      </c>
      <c r="ES84" s="545">
        <v>168657239</v>
      </c>
      <c r="ET84" s="546">
        <f t="shared" si="116"/>
        <v>168657.239</v>
      </c>
      <c r="EW84" s="544" t="s">
        <v>373</v>
      </c>
      <c r="EX84" s="545">
        <v>0</v>
      </c>
      <c r="EY84" s="545">
        <v>170998349</v>
      </c>
      <c r="EZ84" s="545">
        <v>120462761</v>
      </c>
      <c r="FA84" s="545">
        <v>170538349</v>
      </c>
      <c r="FB84" s="545">
        <v>460000</v>
      </c>
      <c r="FC84" s="546">
        <f t="shared" si="126"/>
        <v>0</v>
      </c>
      <c r="FD84" s="546">
        <f t="shared" si="127"/>
        <v>170998.34899999999</v>
      </c>
      <c r="FE84" s="546">
        <f t="shared" si="128"/>
        <v>120462.761</v>
      </c>
      <c r="FF84" s="546">
        <f t="shared" si="129"/>
        <v>170538.34899999999</v>
      </c>
      <c r="FG84" s="546">
        <f t="shared" si="130"/>
        <v>460</v>
      </c>
      <c r="FJ84" s="547" t="s">
        <v>383</v>
      </c>
      <c r="FK84" s="546">
        <v>1590754</v>
      </c>
      <c r="FL84" s="548">
        <f t="shared" si="122"/>
        <v>1590.7539999999999</v>
      </c>
      <c r="FN84" s="549" t="s">
        <v>372</v>
      </c>
      <c r="FO84" s="550">
        <v>3880437</v>
      </c>
      <c r="FP84" s="550">
        <v>3880437</v>
      </c>
      <c r="FQ84" s="550">
        <v>3880437</v>
      </c>
      <c r="FR84" s="550">
        <f t="shared" si="123"/>
        <v>3880.4369999999999</v>
      </c>
      <c r="FS84" s="550">
        <f t="shared" si="124"/>
        <v>3880.4369999999999</v>
      </c>
      <c r="FT84" s="550">
        <f t="shared" si="125"/>
        <v>3880.4369999999999</v>
      </c>
    </row>
    <row r="85" spans="1:176" ht="15" customHeight="1" x14ac:dyDescent="0.25">
      <c r="A85" s="890" t="s">
        <v>889</v>
      </c>
      <c r="B85" s="544" t="s">
        <v>378</v>
      </c>
      <c r="C85" s="545">
        <v>0</v>
      </c>
      <c r="D85" s="545">
        <v>66000000</v>
      </c>
      <c r="E85" s="545">
        <v>38256082</v>
      </c>
      <c r="F85" s="545">
        <v>27743918</v>
      </c>
      <c r="G85" s="545">
        <v>5465146</v>
      </c>
      <c r="H85" s="546">
        <f t="shared" si="72"/>
        <v>68772</v>
      </c>
      <c r="I85" s="546">
        <f t="shared" si="73"/>
        <v>39862.837444000004</v>
      </c>
      <c r="J85" s="546">
        <f t="shared" si="74"/>
        <v>28909.162556000003</v>
      </c>
      <c r="K85" s="546">
        <f t="shared" si="75"/>
        <v>5694.6821319999999</v>
      </c>
      <c r="O85" s="544" t="s">
        <v>582</v>
      </c>
      <c r="P85" s="545">
        <v>8100000</v>
      </c>
      <c r="Q85" s="546">
        <f t="shared" si="76"/>
        <v>8440.2000000000007</v>
      </c>
      <c r="S85" s="544" t="s">
        <v>377</v>
      </c>
      <c r="T85" s="545">
        <v>18240000</v>
      </c>
      <c r="U85" s="545">
        <v>759276</v>
      </c>
      <c r="V85" s="545">
        <v>18240000</v>
      </c>
      <c r="W85" s="545">
        <v>0</v>
      </c>
      <c r="X85" s="546">
        <f t="shared" si="77"/>
        <v>19006.080000000002</v>
      </c>
      <c r="Y85" s="546">
        <f t="shared" si="78"/>
        <v>791.16559199999995</v>
      </c>
      <c r="Z85" s="546">
        <f t="shared" si="79"/>
        <v>19006.080000000002</v>
      </c>
      <c r="AA85" s="546">
        <f t="shared" si="80"/>
        <v>0</v>
      </c>
      <c r="AC85" s="544" t="s">
        <v>568</v>
      </c>
      <c r="AD85" s="545">
        <v>2099886</v>
      </c>
      <c r="AE85" s="546">
        <f t="shared" si="81"/>
        <v>2099.886</v>
      </c>
      <c r="AG85" s="544" t="s">
        <v>376</v>
      </c>
      <c r="AH85" s="545">
        <v>2300000</v>
      </c>
      <c r="AI85" s="545">
        <v>143150</v>
      </c>
      <c r="AJ85" s="545">
        <v>1600000</v>
      </c>
      <c r="AK85" s="545">
        <v>700000</v>
      </c>
      <c r="AL85" s="545">
        <f t="shared" si="82"/>
        <v>2300</v>
      </c>
      <c r="AM85" s="545">
        <f t="shared" si="83"/>
        <v>143.15</v>
      </c>
      <c r="AN85" s="545">
        <f t="shared" si="84"/>
        <v>1600</v>
      </c>
      <c r="AO85" s="545">
        <f t="shared" si="85"/>
        <v>700</v>
      </c>
      <c r="AR85" s="544" t="s">
        <v>399</v>
      </c>
      <c r="AS85" s="545">
        <v>6311431</v>
      </c>
      <c r="AT85" s="545">
        <f t="shared" si="86"/>
        <v>6311.4309999999996</v>
      </c>
      <c r="AV85" s="544" t="s">
        <v>376</v>
      </c>
      <c r="AW85" s="545">
        <v>2300000</v>
      </c>
      <c r="AX85" s="545">
        <v>238250</v>
      </c>
      <c r="AY85" s="545">
        <v>1600000</v>
      </c>
      <c r="AZ85" s="545">
        <v>700000</v>
      </c>
      <c r="BA85" s="546">
        <f t="shared" si="87"/>
        <v>2300</v>
      </c>
      <c r="BB85" s="546">
        <f t="shared" si="88"/>
        <v>238.25</v>
      </c>
      <c r="BC85" s="546">
        <f t="shared" si="89"/>
        <v>1600</v>
      </c>
      <c r="BD85" s="546">
        <f t="shared" si="90"/>
        <v>700</v>
      </c>
      <c r="BK85" s="544" t="s">
        <v>375</v>
      </c>
      <c r="BL85" s="545">
        <v>16715000</v>
      </c>
      <c r="BM85" s="545">
        <v>4661757</v>
      </c>
      <c r="BN85" s="545">
        <v>13317491</v>
      </c>
      <c r="BO85" s="545">
        <v>3397509</v>
      </c>
      <c r="BP85" s="545">
        <f t="shared" si="92"/>
        <v>16715</v>
      </c>
      <c r="BQ85" s="545">
        <f t="shared" si="93"/>
        <v>4661.7569999999996</v>
      </c>
      <c r="BR85" s="545">
        <f t="shared" si="94"/>
        <v>13317.491</v>
      </c>
      <c r="BS85" s="545">
        <f t="shared" si="95"/>
        <v>3397.509</v>
      </c>
      <c r="BV85" s="544" t="s">
        <v>569</v>
      </c>
      <c r="BW85" s="545">
        <v>9436517</v>
      </c>
      <c r="BX85" s="546">
        <f t="shared" si="96"/>
        <v>9436.5169999999998</v>
      </c>
      <c r="BZ85" s="544" t="s">
        <v>375</v>
      </c>
      <c r="CA85" s="545">
        <v>16715000</v>
      </c>
      <c r="CB85" s="545">
        <v>5848597</v>
      </c>
      <c r="CC85" s="545">
        <v>13317491</v>
      </c>
      <c r="CD85" s="545">
        <v>3397509</v>
      </c>
      <c r="CE85" s="545">
        <f t="shared" si="97"/>
        <v>16715</v>
      </c>
      <c r="CF85" s="545">
        <f t="shared" si="98"/>
        <v>5848.5969999999998</v>
      </c>
      <c r="CG85" s="545">
        <f t="shared" si="99"/>
        <v>13317.491</v>
      </c>
      <c r="CH85" s="545">
        <f t="shared" si="100"/>
        <v>3397.509</v>
      </c>
      <c r="CK85" s="547" t="s">
        <v>390</v>
      </c>
      <c r="CL85" s="546">
        <v>109947038</v>
      </c>
      <c r="CM85" s="546">
        <f t="shared" si="101"/>
        <v>109947.038</v>
      </c>
      <c r="CP85" s="547" t="s">
        <v>375</v>
      </c>
      <c r="CQ85" s="546">
        <v>17167491</v>
      </c>
      <c r="CR85" s="546">
        <v>6917835</v>
      </c>
      <c r="CS85" s="546">
        <v>13317491</v>
      </c>
      <c r="CT85" s="546">
        <v>3850000</v>
      </c>
      <c r="CU85" s="546">
        <f t="shared" si="68"/>
        <v>17167.491000000002</v>
      </c>
      <c r="CV85" s="546">
        <f t="shared" si="69"/>
        <v>6917.835</v>
      </c>
      <c r="CW85" s="546">
        <f t="shared" si="70"/>
        <v>13317.491</v>
      </c>
      <c r="CX85" s="546">
        <f t="shared" si="71"/>
        <v>3850</v>
      </c>
      <c r="CZ85" s="547" t="s">
        <v>388</v>
      </c>
      <c r="DA85" s="546">
        <v>25123293</v>
      </c>
      <c r="DB85" s="546">
        <f t="shared" si="102"/>
        <v>25123.293000000001</v>
      </c>
      <c r="DE85" s="544" t="s">
        <v>375</v>
      </c>
      <c r="DF85" s="545">
        <v>23167491</v>
      </c>
      <c r="DG85" s="545">
        <v>8146328</v>
      </c>
      <c r="DH85" s="545">
        <v>16317491</v>
      </c>
      <c r="DI85" s="545">
        <v>6850000</v>
      </c>
      <c r="DJ85" s="546">
        <f t="shared" si="103"/>
        <v>23167.491000000002</v>
      </c>
      <c r="DK85" s="546">
        <f t="shared" si="104"/>
        <v>8146.3280000000004</v>
      </c>
      <c r="DL85" s="546">
        <f t="shared" si="105"/>
        <v>16317.491</v>
      </c>
      <c r="DM85" s="546">
        <f t="shared" si="106"/>
        <v>6850</v>
      </c>
      <c r="DP85" s="544" t="s">
        <v>569</v>
      </c>
      <c r="DQ85" s="545">
        <v>9493908</v>
      </c>
      <c r="DR85" s="546">
        <f t="shared" si="107"/>
        <v>9493.9079999999994</v>
      </c>
      <c r="DT85" s="544" t="s">
        <v>375</v>
      </c>
      <c r="DU85" s="545">
        <v>23235491</v>
      </c>
      <c r="DV85" s="545">
        <v>9019659</v>
      </c>
      <c r="DW85" s="545">
        <v>13924196</v>
      </c>
      <c r="DX85" s="545">
        <v>9311295</v>
      </c>
      <c r="DY85" s="546">
        <f t="shared" si="108"/>
        <v>23235.491000000002</v>
      </c>
      <c r="DZ85" s="546">
        <f t="shared" si="109"/>
        <v>9019.6589999999997</v>
      </c>
      <c r="EA85" s="546">
        <f t="shared" si="110"/>
        <v>13924.196</v>
      </c>
      <c r="EB85" s="546">
        <f t="shared" si="111"/>
        <v>9311.2950000000001</v>
      </c>
      <c r="EE85" s="547" t="s">
        <v>571</v>
      </c>
      <c r="EF85" s="546">
        <v>133317157</v>
      </c>
      <c r="EG85" s="548">
        <f t="shared" si="112"/>
        <v>133317.15700000001</v>
      </c>
      <c r="EI85" s="547" t="s">
        <v>373</v>
      </c>
      <c r="EJ85" s="546">
        <v>183003623</v>
      </c>
      <c r="EK85" s="546">
        <v>172728953</v>
      </c>
      <c r="EL85" s="546">
        <v>101561584</v>
      </c>
      <c r="EM85" s="548">
        <f t="shared" si="113"/>
        <v>183003.62299999999</v>
      </c>
      <c r="EN85" s="548">
        <f t="shared" si="114"/>
        <v>172728.95300000001</v>
      </c>
      <c r="EO85" s="548">
        <f t="shared" si="115"/>
        <v>101561.584</v>
      </c>
      <c r="ER85" s="544" t="s">
        <v>393</v>
      </c>
      <c r="ES85" s="545">
        <v>9100000</v>
      </c>
      <c r="ET85" s="546">
        <f t="shared" si="116"/>
        <v>9100</v>
      </c>
      <c r="EW85" s="544" t="s">
        <v>374</v>
      </c>
      <c r="EX85" s="545">
        <v>0</v>
      </c>
      <c r="EY85" s="545">
        <v>15806131</v>
      </c>
      <c r="EZ85" s="545">
        <v>13643778</v>
      </c>
      <c r="FA85" s="545">
        <v>15806131</v>
      </c>
      <c r="FB85" s="545">
        <v>0</v>
      </c>
      <c r="FC85" s="546">
        <f t="shared" si="126"/>
        <v>0</v>
      </c>
      <c r="FD85" s="546">
        <f t="shared" si="127"/>
        <v>15806.130999999999</v>
      </c>
      <c r="FE85" s="546">
        <f t="shared" si="128"/>
        <v>13643.778</v>
      </c>
      <c r="FF85" s="546">
        <f t="shared" si="129"/>
        <v>15806.130999999999</v>
      </c>
      <c r="FG85" s="546">
        <f t="shared" si="130"/>
        <v>0</v>
      </c>
      <c r="FJ85" s="547" t="s">
        <v>384</v>
      </c>
      <c r="FK85" s="546">
        <v>1590754</v>
      </c>
      <c r="FL85" s="548">
        <f t="shared" si="122"/>
        <v>1590.7539999999999</v>
      </c>
      <c r="FN85" s="549" t="s">
        <v>373</v>
      </c>
      <c r="FO85" s="550">
        <v>162839568</v>
      </c>
      <c r="FP85" s="550">
        <v>136984165</v>
      </c>
      <c r="FQ85" s="550">
        <v>159106235</v>
      </c>
      <c r="FR85" s="550">
        <f t="shared" si="123"/>
        <v>162839.568</v>
      </c>
      <c r="FS85" s="550">
        <f t="shared" si="124"/>
        <v>136984.16500000001</v>
      </c>
      <c r="FT85" s="550">
        <f t="shared" si="125"/>
        <v>159106.23499999999</v>
      </c>
    </row>
    <row r="86" spans="1:176" ht="15" customHeight="1" x14ac:dyDescent="0.25">
      <c r="A86" s="890" t="s">
        <v>889</v>
      </c>
      <c r="B86" s="544" t="s">
        <v>379</v>
      </c>
      <c r="C86" s="545">
        <v>0</v>
      </c>
      <c r="D86" s="545">
        <v>8500000</v>
      </c>
      <c r="E86" s="545">
        <v>0</v>
      </c>
      <c r="F86" s="545">
        <v>8500000</v>
      </c>
      <c r="G86" s="545">
        <v>0</v>
      </c>
      <c r="H86" s="546">
        <f t="shared" si="72"/>
        <v>8857</v>
      </c>
      <c r="I86" s="546">
        <f t="shared" si="73"/>
        <v>0</v>
      </c>
      <c r="J86" s="546">
        <f t="shared" si="74"/>
        <v>8857</v>
      </c>
      <c r="K86" s="546">
        <f t="shared" si="75"/>
        <v>0</v>
      </c>
      <c r="O86" s="544" t="s">
        <v>881</v>
      </c>
      <c r="P86" s="545">
        <v>210102000</v>
      </c>
      <c r="Q86" s="546">
        <f t="shared" si="76"/>
        <v>218926.28400000001</v>
      </c>
      <c r="S86" s="544" t="s">
        <v>378</v>
      </c>
      <c r="T86" s="545">
        <v>66000000</v>
      </c>
      <c r="U86" s="545">
        <v>10930292</v>
      </c>
      <c r="V86" s="545">
        <v>38256082</v>
      </c>
      <c r="W86" s="545">
        <v>27743918</v>
      </c>
      <c r="X86" s="546">
        <f t="shared" si="77"/>
        <v>68772</v>
      </c>
      <c r="Y86" s="546">
        <f t="shared" si="78"/>
        <v>11389.364264</v>
      </c>
      <c r="Z86" s="546">
        <f t="shared" si="79"/>
        <v>39862.837444000004</v>
      </c>
      <c r="AA86" s="546">
        <f t="shared" si="80"/>
        <v>28909.162556000003</v>
      </c>
      <c r="AC86" s="544" t="s">
        <v>472</v>
      </c>
      <c r="AD86" s="545">
        <v>5134716</v>
      </c>
      <c r="AE86" s="546">
        <f t="shared" si="81"/>
        <v>5134.7160000000003</v>
      </c>
      <c r="AG86" s="544" t="s">
        <v>377</v>
      </c>
      <c r="AH86" s="545">
        <v>18240000</v>
      </c>
      <c r="AI86" s="545">
        <v>1637541</v>
      </c>
      <c r="AJ86" s="545">
        <v>18240000</v>
      </c>
      <c r="AK86" s="545">
        <v>0</v>
      </c>
      <c r="AL86" s="545">
        <f t="shared" si="82"/>
        <v>18240</v>
      </c>
      <c r="AM86" s="545">
        <f t="shared" si="83"/>
        <v>1637.5409999999999</v>
      </c>
      <c r="AN86" s="545">
        <f t="shared" si="84"/>
        <v>18240</v>
      </c>
      <c r="AO86" s="545">
        <f t="shared" si="85"/>
        <v>0</v>
      </c>
      <c r="AR86" s="544" t="s">
        <v>502</v>
      </c>
      <c r="AS86" s="545">
        <v>6311431</v>
      </c>
      <c r="AT86" s="545">
        <f t="shared" si="86"/>
        <v>6311.4309999999996</v>
      </c>
      <c r="AV86" s="544" t="s">
        <v>377</v>
      </c>
      <c r="AW86" s="545">
        <v>18240000</v>
      </c>
      <c r="AX86" s="545">
        <v>2245899</v>
      </c>
      <c r="AY86" s="545">
        <v>18240000</v>
      </c>
      <c r="AZ86" s="545">
        <v>0</v>
      </c>
      <c r="BA86" s="546">
        <f t="shared" si="87"/>
        <v>18240</v>
      </c>
      <c r="BB86" s="546">
        <f t="shared" si="88"/>
        <v>2245.8989999999999</v>
      </c>
      <c r="BC86" s="546">
        <f t="shared" si="89"/>
        <v>18240</v>
      </c>
      <c r="BD86" s="546">
        <f t="shared" si="90"/>
        <v>0</v>
      </c>
      <c r="BK86" s="544" t="s">
        <v>376</v>
      </c>
      <c r="BL86" s="545">
        <v>2300000</v>
      </c>
      <c r="BM86" s="545">
        <v>238250</v>
      </c>
      <c r="BN86" s="545">
        <v>1600000</v>
      </c>
      <c r="BO86" s="545">
        <v>700000</v>
      </c>
      <c r="BP86" s="545">
        <f t="shared" si="92"/>
        <v>2300</v>
      </c>
      <c r="BQ86" s="545">
        <f t="shared" si="93"/>
        <v>238.25</v>
      </c>
      <c r="BR86" s="545">
        <f t="shared" si="94"/>
        <v>1600</v>
      </c>
      <c r="BS86" s="545">
        <f t="shared" si="95"/>
        <v>700</v>
      </c>
      <c r="BV86" s="544" t="s">
        <v>472</v>
      </c>
      <c r="BW86" s="545">
        <v>4777716</v>
      </c>
      <c r="BX86" s="546">
        <f t="shared" si="96"/>
        <v>4777.7160000000003</v>
      </c>
      <c r="BZ86" s="544" t="s">
        <v>376</v>
      </c>
      <c r="CA86" s="545">
        <v>2392000</v>
      </c>
      <c r="CB86" s="545">
        <v>513750</v>
      </c>
      <c r="CC86" s="545">
        <v>1691390</v>
      </c>
      <c r="CD86" s="545">
        <v>700610</v>
      </c>
      <c r="CE86" s="545">
        <f t="shared" si="97"/>
        <v>2392</v>
      </c>
      <c r="CF86" s="545">
        <f t="shared" si="98"/>
        <v>513.75</v>
      </c>
      <c r="CG86" s="545">
        <f t="shared" si="99"/>
        <v>1691.39</v>
      </c>
      <c r="CH86" s="545">
        <f t="shared" si="100"/>
        <v>700.61</v>
      </c>
      <c r="CK86" s="547" t="s">
        <v>568</v>
      </c>
      <c r="CL86" s="546">
        <v>2052940</v>
      </c>
      <c r="CM86" s="546">
        <f t="shared" si="101"/>
        <v>2052.94</v>
      </c>
      <c r="CP86" s="547" t="s">
        <v>376</v>
      </c>
      <c r="CQ86" s="546">
        <v>2392000</v>
      </c>
      <c r="CR86" s="546">
        <v>808240</v>
      </c>
      <c r="CS86" s="546">
        <v>2298797</v>
      </c>
      <c r="CT86" s="546">
        <v>93203</v>
      </c>
      <c r="CU86" s="546">
        <f t="shared" si="68"/>
        <v>2392</v>
      </c>
      <c r="CV86" s="546">
        <f t="shared" si="69"/>
        <v>808.24</v>
      </c>
      <c r="CW86" s="546">
        <f t="shared" si="70"/>
        <v>2298.797</v>
      </c>
      <c r="CX86" s="546">
        <f t="shared" si="71"/>
        <v>93.203000000000003</v>
      </c>
      <c r="CZ86" s="547" t="s">
        <v>389</v>
      </c>
      <c r="DA86" s="546">
        <v>41882337</v>
      </c>
      <c r="DB86" s="546">
        <f t="shared" si="102"/>
        <v>41882.337</v>
      </c>
      <c r="DE86" s="544" t="s">
        <v>376</v>
      </c>
      <c r="DF86" s="545">
        <v>2392000</v>
      </c>
      <c r="DG86" s="545">
        <v>1583294</v>
      </c>
      <c r="DH86" s="545">
        <v>2298797</v>
      </c>
      <c r="DI86" s="545">
        <v>93203</v>
      </c>
      <c r="DJ86" s="546">
        <f t="shared" si="103"/>
        <v>2392</v>
      </c>
      <c r="DK86" s="546">
        <f t="shared" si="104"/>
        <v>1583.2940000000001</v>
      </c>
      <c r="DL86" s="546">
        <f t="shared" si="105"/>
        <v>2298.797</v>
      </c>
      <c r="DM86" s="546">
        <f t="shared" si="106"/>
        <v>93.203000000000003</v>
      </c>
      <c r="DP86" s="544" t="s">
        <v>472</v>
      </c>
      <c r="DQ86" s="545">
        <v>2388858</v>
      </c>
      <c r="DR86" s="546">
        <f t="shared" si="107"/>
        <v>2388.8580000000002</v>
      </c>
      <c r="DT86" s="544" t="s">
        <v>376</v>
      </c>
      <c r="DU86" s="545">
        <v>2392000</v>
      </c>
      <c r="DV86" s="545">
        <v>1583294</v>
      </c>
      <c r="DW86" s="545">
        <v>2298797</v>
      </c>
      <c r="DX86" s="545">
        <v>93203</v>
      </c>
      <c r="DY86" s="546">
        <f t="shared" si="108"/>
        <v>2392</v>
      </c>
      <c r="DZ86" s="546">
        <f t="shared" si="109"/>
        <v>1583.2940000000001</v>
      </c>
      <c r="EA86" s="546">
        <f t="shared" si="110"/>
        <v>2298.797</v>
      </c>
      <c r="EB86" s="546">
        <f t="shared" si="111"/>
        <v>93.203000000000003</v>
      </c>
      <c r="EE86" s="547" t="s">
        <v>392</v>
      </c>
      <c r="EF86" s="546">
        <v>39377000</v>
      </c>
      <c r="EG86" s="548">
        <f t="shared" si="112"/>
        <v>39377</v>
      </c>
      <c r="EI86" s="547" t="s">
        <v>374</v>
      </c>
      <c r="EJ86" s="546">
        <v>15522931</v>
      </c>
      <c r="EK86" s="546">
        <v>14472531</v>
      </c>
      <c r="EL86" s="546">
        <v>11906331</v>
      </c>
      <c r="EM86" s="548">
        <f t="shared" si="113"/>
        <v>15522.931</v>
      </c>
      <c r="EN86" s="548">
        <f t="shared" si="114"/>
        <v>14472.531000000001</v>
      </c>
      <c r="EO86" s="548">
        <f t="shared" si="115"/>
        <v>11906.331</v>
      </c>
      <c r="ER86" s="544" t="s">
        <v>394</v>
      </c>
      <c r="ES86" s="545">
        <v>100638240</v>
      </c>
      <c r="ET86" s="546">
        <f t="shared" si="116"/>
        <v>100638.24</v>
      </c>
      <c r="EW86" s="544" t="s">
        <v>375</v>
      </c>
      <c r="EX86" s="545">
        <v>0</v>
      </c>
      <c r="EY86" s="545">
        <v>14650322</v>
      </c>
      <c r="EZ86" s="545">
        <v>11452641</v>
      </c>
      <c r="FA86" s="545">
        <v>14650322</v>
      </c>
      <c r="FB86" s="545">
        <v>0</v>
      </c>
      <c r="FC86" s="546">
        <f t="shared" si="126"/>
        <v>0</v>
      </c>
      <c r="FD86" s="546">
        <f t="shared" si="127"/>
        <v>14650.322</v>
      </c>
      <c r="FE86" s="546">
        <f t="shared" si="128"/>
        <v>11452.641</v>
      </c>
      <c r="FF86" s="546">
        <f t="shared" si="129"/>
        <v>14650.322</v>
      </c>
      <c r="FG86" s="546">
        <f t="shared" si="130"/>
        <v>0</v>
      </c>
      <c r="FJ86" s="547" t="s">
        <v>386</v>
      </c>
      <c r="FK86" s="546">
        <v>66026340</v>
      </c>
      <c r="FL86" s="548">
        <f t="shared" si="122"/>
        <v>66026.34</v>
      </c>
      <c r="FN86" s="549" t="s">
        <v>374</v>
      </c>
      <c r="FO86" s="550">
        <v>14941402</v>
      </c>
      <c r="FP86" s="550">
        <v>14941402</v>
      </c>
      <c r="FQ86" s="550">
        <v>14941402</v>
      </c>
      <c r="FR86" s="550">
        <f t="shared" si="123"/>
        <v>14941.402</v>
      </c>
      <c r="FS86" s="550">
        <f t="shared" si="124"/>
        <v>14941.402</v>
      </c>
      <c r="FT86" s="550">
        <f t="shared" si="125"/>
        <v>14941.402</v>
      </c>
    </row>
    <row r="87" spans="1:176" ht="15" customHeight="1" x14ac:dyDescent="0.25">
      <c r="A87" s="890" t="s">
        <v>889</v>
      </c>
      <c r="B87" s="544" t="s">
        <v>380</v>
      </c>
      <c r="C87" s="545">
        <v>0</v>
      </c>
      <c r="D87" s="545">
        <v>5760000</v>
      </c>
      <c r="E87" s="545">
        <v>4268853</v>
      </c>
      <c r="F87" s="545">
        <v>1491147</v>
      </c>
      <c r="G87" s="545">
        <v>0</v>
      </c>
      <c r="H87" s="546">
        <f t="shared" si="72"/>
        <v>6001.92</v>
      </c>
      <c r="I87" s="546">
        <f t="shared" si="73"/>
        <v>4448.1448260000006</v>
      </c>
      <c r="J87" s="546">
        <f t="shared" si="74"/>
        <v>1553.7751739999999</v>
      </c>
      <c r="K87" s="546">
        <f t="shared" si="75"/>
        <v>0</v>
      </c>
      <c r="O87" s="544" t="s">
        <v>882</v>
      </c>
      <c r="P87" s="545">
        <v>210102000</v>
      </c>
      <c r="Q87" s="546">
        <f t="shared" si="76"/>
        <v>218926.28400000001</v>
      </c>
      <c r="S87" s="544" t="s">
        <v>379</v>
      </c>
      <c r="T87" s="545">
        <v>8500000</v>
      </c>
      <c r="U87" s="545">
        <v>0</v>
      </c>
      <c r="V87" s="545">
        <v>3783060</v>
      </c>
      <c r="W87" s="545">
        <v>4716940</v>
      </c>
      <c r="X87" s="546">
        <f t="shared" si="77"/>
        <v>8857</v>
      </c>
      <c r="Y87" s="546">
        <f t="shared" si="78"/>
        <v>0</v>
      </c>
      <c r="Z87" s="546">
        <f t="shared" si="79"/>
        <v>3941.9485199999999</v>
      </c>
      <c r="AA87" s="546">
        <f t="shared" si="80"/>
        <v>4915.0514800000001</v>
      </c>
      <c r="AC87" s="544" t="s">
        <v>570</v>
      </c>
      <c r="AD87" s="545">
        <v>4526344</v>
      </c>
      <c r="AE87" s="546">
        <f t="shared" si="81"/>
        <v>4526.3440000000001</v>
      </c>
      <c r="AG87" s="544" t="s">
        <v>378</v>
      </c>
      <c r="AH87" s="545">
        <v>71752082</v>
      </c>
      <c r="AI87" s="545">
        <v>16395438</v>
      </c>
      <c r="AJ87" s="545">
        <v>38256082</v>
      </c>
      <c r="AK87" s="545">
        <v>33496000</v>
      </c>
      <c r="AL87" s="545">
        <f t="shared" si="82"/>
        <v>71752.081999999995</v>
      </c>
      <c r="AM87" s="545">
        <f t="shared" si="83"/>
        <v>16395.437999999998</v>
      </c>
      <c r="AN87" s="545">
        <f t="shared" si="84"/>
        <v>38256.082000000002</v>
      </c>
      <c r="AO87" s="545">
        <f t="shared" si="85"/>
        <v>33496</v>
      </c>
      <c r="AR87" s="544" t="s">
        <v>597</v>
      </c>
      <c r="AS87" s="545">
        <v>27389354</v>
      </c>
      <c r="AT87" s="545">
        <f t="shared" si="86"/>
        <v>27389.353999999999</v>
      </c>
      <c r="AV87" s="544" t="s">
        <v>378</v>
      </c>
      <c r="AW87" s="545">
        <v>71752082</v>
      </c>
      <c r="AX87" s="545">
        <v>16395438</v>
      </c>
      <c r="AY87" s="545">
        <v>38256082</v>
      </c>
      <c r="AZ87" s="545">
        <v>33496000</v>
      </c>
      <c r="BA87" s="546">
        <f t="shared" si="87"/>
        <v>71752.081999999995</v>
      </c>
      <c r="BB87" s="546">
        <f t="shared" si="88"/>
        <v>16395.437999999998</v>
      </c>
      <c r="BC87" s="546">
        <f t="shared" si="89"/>
        <v>38256.082000000002</v>
      </c>
      <c r="BD87" s="546">
        <f t="shared" si="90"/>
        <v>33496</v>
      </c>
      <c r="BK87" s="544" t="s">
        <v>377</v>
      </c>
      <c r="BL87" s="545">
        <v>18240000</v>
      </c>
      <c r="BM87" s="545">
        <v>3148577</v>
      </c>
      <c r="BN87" s="545">
        <v>18240000</v>
      </c>
      <c r="BO87" s="545">
        <v>0</v>
      </c>
      <c r="BP87" s="545">
        <f t="shared" si="92"/>
        <v>18240</v>
      </c>
      <c r="BQ87" s="545">
        <f t="shared" si="93"/>
        <v>3148.5770000000002</v>
      </c>
      <c r="BR87" s="545">
        <f t="shared" si="94"/>
        <v>18240</v>
      </c>
      <c r="BS87" s="545">
        <f t="shared" si="95"/>
        <v>0</v>
      </c>
      <c r="BV87" s="544" t="s">
        <v>571</v>
      </c>
      <c r="BW87" s="545">
        <v>159832205</v>
      </c>
      <c r="BX87" s="546">
        <f t="shared" si="96"/>
        <v>159832.20499999999</v>
      </c>
      <c r="BZ87" s="544" t="s">
        <v>377</v>
      </c>
      <c r="CA87" s="545">
        <v>18240000</v>
      </c>
      <c r="CB87" s="545">
        <v>4606700</v>
      </c>
      <c r="CC87" s="545">
        <v>18240000</v>
      </c>
      <c r="CD87" s="545">
        <v>0</v>
      </c>
      <c r="CE87" s="545">
        <f t="shared" si="97"/>
        <v>18240</v>
      </c>
      <c r="CF87" s="545">
        <f t="shared" si="98"/>
        <v>4606.7</v>
      </c>
      <c r="CG87" s="545">
        <f t="shared" si="99"/>
        <v>18240</v>
      </c>
      <c r="CH87" s="545">
        <f t="shared" si="100"/>
        <v>0</v>
      </c>
      <c r="CK87" s="547" t="s">
        <v>569</v>
      </c>
      <c r="CL87" s="546">
        <v>9440246</v>
      </c>
      <c r="CM87" s="546">
        <f t="shared" si="101"/>
        <v>9440.2459999999992</v>
      </c>
      <c r="CP87" s="547" t="s">
        <v>377</v>
      </c>
      <c r="CQ87" s="546">
        <v>18240000</v>
      </c>
      <c r="CR87" s="546">
        <v>5381883</v>
      </c>
      <c r="CS87" s="546">
        <v>18240000</v>
      </c>
      <c r="CT87" s="546">
        <v>0</v>
      </c>
      <c r="CU87" s="546">
        <f t="shared" si="68"/>
        <v>18240</v>
      </c>
      <c r="CV87" s="546">
        <f t="shared" si="69"/>
        <v>5381.8829999999998</v>
      </c>
      <c r="CW87" s="546">
        <f t="shared" si="70"/>
        <v>18240</v>
      </c>
      <c r="CX87" s="546">
        <f t="shared" si="71"/>
        <v>0</v>
      </c>
      <c r="CZ87" s="547" t="s">
        <v>390</v>
      </c>
      <c r="DA87" s="546">
        <v>28035554</v>
      </c>
      <c r="DB87" s="546">
        <f t="shared" si="102"/>
        <v>28035.554</v>
      </c>
      <c r="DE87" s="544" t="s">
        <v>377</v>
      </c>
      <c r="DF87" s="545">
        <v>18240000</v>
      </c>
      <c r="DG87" s="545">
        <v>6455775</v>
      </c>
      <c r="DH87" s="545">
        <v>18240000</v>
      </c>
      <c r="DI87" s="545">
        <v>0</v>
      </c>
      <c r="DJ87" s="546">
        <f t="shared" si="103"/>
        <v>18240</v>
      </c>
      <c r="DK87" s="546">
        <f t="shared" si="104"/>
        <v>6455.7749999999996</v>
      </c>
      <c r="DL87" s="546">
        <f t="shared" si="105"/>
        <v>18240</v>
      </c>
      <c r="DM87" s="546">
        <f t="shared" si="106"/>
        <v>0</v>
      </c>
      <c r="DP87" s="544" t="s">
        <v>571</v>
      </c>
      <c r="DQ87" s="545">
        <v>27381000</v>
      </c>
      <c r="DR87" s="546">
        <f t="shared" si="107"/>
        <v>27381</v>
      </c>
      <c r="DT87" s="544" t="s">
        <v>377</v>
      </c>
      <c r="DU87" s="545">
        <v>18240000</v>
      </c>
      <c r="DV87" s="545">
        <v>7282628</v>
      </c>
      <c r="DW87" s="545">
        <v>18240000</v>
      </c>
      <c r="DX87" s="545">
        <v>0</v>
      </c>
      <c r="DY87" s="546">
        <f t="shared" si="108"/>
        <v>18240</v>
      </c>
      <c r="DZ87" s="546">
        <f t="shared" si="109"/>
        <v>7282.6279999999997</v>
      </c>
      <c r="EA87" s="546">
        <f t="shared" si="110"/>
        <v>18240</v>
      </c>
      <c r="EB87" s="546">
        <f t="shared" si="111"/>
        <v>0</v>
      </c>
      <c r="EE87" s="547" t="s">
        <v>393</v>
      </c>
      <c r="EF87" s="546">
        <v>8270000</v>
      </c>
      <c r="EG87" s="548">
        <f t="shared" si="112"/>
        <v>8270</v>
      </c>
      <c r="EI87" s="547" t="s">
        <v>375</v>
      </c>
      <c r="EJ87" s="546">
        <v>23300491</v>
      </c>
      <c r="EK87" s="546">
        <v>20175292</v>
      </c>
      <c r="EL87" s="546">
        <v>10198894</v>
      </c>
      <c r="EM87" s="548">
        <f t="shared" si="113"/>
        <v>23300.491000000002</v>
      </c>
      <c r="EN87" s="548">
        <f t="shared" si="114"/>
        <v>20175.292000000001</v>
      </c>
      <c r="EO87" s="548">
        <f t="shared" si="115"/>
        <v>10198.894</v>
      </c>
      <c r="ER87" s="544" t="s">
        <v>395</v>
      </c>
      <c r="ES87" s="545">
        <v>925820</v>
      </c>
      <c r="ET87" s="546">
        <f t="shared" si="116"/>
        <v>925.82</v>
      </c>
      <c r="EW87" s="544" t="s">
        <v>376</v>
      </c>
      <c r="EX87" s="545">
        <v>0</v>
      </c>
      <c r="EY87" s="545">
        <v>2298797</v>
      </c>
      <c r="EZ87" s="545">
        <v>2113347</v>
      </c>
      <c r="FA87" s="545">
        <v>2298797</v>
      </c>
      <c r="FB87" s="545">
        <v>0</v>
      </c>
      <c r="FC87" s="546">
        <f t="shared" si="126"/>
        <v>0</v>
      </c>
      <c r="FD87" s="546">
        <f t="shared" si="127"/>
        <v>2298.797</v>
      </c>
      <c r="FE87" s="546">
        <f t="shared" si="128"/>
        <v>2113.3470000000002</v>
      </c>
      <c r="FF87" s="546">
        <f t="shared" si="129"/>
        <v>2298.797</v>
      </c>
      <c r="FG87" s="546">
        <f t="shared" si="130"/>
        <v>0</v>
      </c>
      <c r="FJ87" s="547" t="s">
        <v>387</v>
      </c>
      <c r="FK87" s="546">
        <v>9351259</v>
      </c>
      <c r="FL87" s="548">
        <f t="shared" si="122"/>
        <v>9351.259</v>
      </c>
      <c r="FN87" s="549" t="s">
        <v>375</v>
      </c>
      <c r="FO87" s="550">
        <v>13509245</v>
      </c>
      <c r="FP87" s="550">
        <v>13509245</v>
      </c>
      <c r="FQ87" s="550">
        <v>13509245</v>
      </c>
      <c r="FR87" s="550">
        <f t="shared" si="123"/>
        <v>13509.245000000001</v>
      </c>
      <c r="FS87" s="550">
        <f t="shared" si="124"/>
        <v>13509.245000000001</v>
      </c>
      <c r="FT87" s="550">
        <f t="shared" si="125"/>
        <v>13509.245000000001</v>
      </c>
    </row>
    <row r="88" spans="1:176" ht="15" customHeight="1" x14ac:dyDescent="0.25">
      <c r="A88" s="890" t="s">
        <v>889</v>
      </c>
      <c r="B88" s="544" t="s">
        <v>559</v>
      </c>
      <c r="C88" s="545">
        <v>0</v>
      </c>
      <c r="D88" s="545">
        <v>38400000</v>
      </c>
      <c r="E88" s="545">
        <v>34493866</v>
      </c>
      <c r="F88" s="545">
        <v>3906134</v>
      </c>
      <c r="G88" s="545">
        <v>3135806</v>
      </c>
      <c r="H88" s="546">
        <f t="shared" si="72"/>
        <v>40012.800000000003</v>
      </c>
      <c r="I88" s="546">
        <f t="shared" si="73"/>
        <v>35942.608372000002</v>
      </c>
      <c r="J88" s="546">
        <f t="shared" si="74"/>
        <v>4070.191628</v>
      </c>
      <c r="K88" s="546">
        <f t="shared" si="75"/>
        <v>3267.5098520000001</v>
      </c>
      <c r="O88" s="544" t="s">
        <v>883</v>
      </c>
      <c r="P88" s="545">
        <v>210102000</v>
      </c>
      <c r="Q88" s="546">
        <f t="shared" si="76"/>
        <v>218926.28400000001</v>
      </c>
      <c r="S88" s="544" t="s">
        <v>380</v>
      </c>
      <c r="T88" s="545">
        <v>5760000</v>
      </c>
      <c r="U88" s="545">
        <v>474317</v>
      </c>
      <c r="V88" s="545">
        <v>4268853</v>
      </c>
      <c r="W88" s="545">
        <v>1491147</v>
      </c>
      <c r="X88" s="546">
        <f t="shared" si="77"/>
        <v>6001.92</v>
      </c>
      <c r="Y88" s="546">
        <f t="shared" si="78"/>
        <v>494.238314</v>
      </c>
      <c r="Z88" s="546">
        <f t="shared" si="79"/>
        <v>4448.1448260000006</v>
      </c>
      <c r="AA88" s="546">
        <f t="shared" si="80"/>
        <v>1553.7751739999999</v>
      </c>
      <c r="AC88" s="544" t="s">
        <v>391</v>
      </c>
      <c r="AD88" s="545">
        <v>4526344</v>
      </c>
      <c r="AE88" s="546">
        <f t="shared" si="81"/>
        <v>4526.3440000000001</v>
      </c>
      <c r="AG88" s="544" t="s">
        <v>379</v>
      </c>
      <c r="AH88" s="545">
        <v>8500000</v>
      </c>
      <c r="AI88" s="545">
        <v>0</v>
      </c>
      <c r="AJ88" s="545">
        <v>3783060</v>
      </c>
      <c r="AK88" s="545">
        <v>4716940</v>
      </c>
      <c r="AL88" s="545">
        <f t="shared" si="82"/>
        <v>8500</v>
      </c>
      <c r="AM88" s="545">
        <f t="shared" si="83"/>
        <v>0</v>
      </c>
      <c r="AN88" s="545">
        <f t="shared" si="84"/>
        <v>3783.06</v>
      </c>
      <c r="AO88" s="545">
        <f t="shared" si="85"/>
        <v>4716.9399999999996</v>
      </c>
      <c r="AR88" s="544" t="s">
        <v>598</v>
      </c>
      <c r="AS88" s="545">
        <v>27389354</v>
      </c>
      <c r="AT88" s="545">
        <f t="shared" si="86"/>
        <v>27389.353999999999</v>
      </c>
      <c r="AV88" s="544" t="s">
        <v>379</v>
      </c>
      <c r="AW88" s="545">
        <v>8500000</v>
      </c>
      <c r="AX88" s="545">
        <v>0</v>
      </c>
      <c r="AY88" s="545">
        <v>3783060</v>
      </c>
      <c r="AZ88" s="545">
        <v>4716940</v>
      </c>
      <c r="BA88" s="546">
        <f t="shared" si="87"/>
        <v>8500</v>
      </c>
      <c r="BB88" s="546">
        <f t="shared" si="88"/>
        <v>0</v>
      </c>
      <c r="BC88" s="546">
        <f t="shared" si="89"/>
        <v>3783.06</v>
      </c>
      <c r="BD88" s="546">
        <f t="shared" si="90"/>
        <v>4716.9399999999996</v>
      </c>
      <c r="BK88" s="544" t="s">
        <v>378</v>
      </c>
      <c r="BL88" s="545">
        <v>72006082</v>
      </c>
      <c r="BM88" s="545">
        <v>16395438</v>
      </c>
      <c r="BN88" s="545">
        <v>38256082</v>
      </c>
      <c r="BO88" s="545">
        <v>33750000</v>
      </c>
      <c r="BP88" s="545">
        <f t="shared" si="92"/>
        <v>72006.081999999995</v>
      </c>
      <c r="BQ88" s="545">
        <f t="shared" si="93"/>
        <v>16395.437999999998</v>
      </c>
      <c r="BR88" s="545">
        <f t="shared" si="94"/>
        <v>38256.082000000002</v>
      </c>
      <c r="BS88" s="545">
        <f t="shared" si="95"/>
        <v>33750</v>
      </c>
      <c r="BV88" s="544" t="s">
        <v>392</v>
      </c>
      <c r="BW88" s="545">
        <v>155485859</v>
      </c>
      <c r="BX88" s="546">
        <f t="shared" si="96"/>
        <v>155485.859</v>
      </c>
      <c r="BZ88" s="544" t="s">
        <v>378</v>
      </c>
      <c r="CA88" s="545">
        <v>72006082</v>
      </c>
      <c r="CB88" s="545">
        <v>16395438</v>
      </c>
      <c r="CC88" s="545">
        <v>71047018</v>
      </c>
      <c r="CD88" s="545">
        <v>959064</v>
      </c>
      <c r="CE88" s="545">
        <f t="shared" si="97"/>
        <v>72006.081999999995</v>
      </c>
      <c r="CF88" s="545">
        <f t="shared" si="98"/>
        <v>16395.437999999998</v>
      </c>
      <c r="CG88" s="545">
        <f t="shared" si="99"/>
        <v>71047.017999999996</v>
      </c>
      <c r="CH88" s="545">
        <f t="shared" si="100"/>
        <v>959.06399999999996</v>
      </c>
      <c r="CK88" s="547" t="s">
        <v>472</v>
      </c>
      <c r="CL88" s="546">
        <v>2388858</v>
      </c>
      <c r="CM88" s="546">
        <f t="shared" si="101"/>
        <v>2388.8580000000002</v>
      </c>
      <c r="CP88" s="547" t="s">
        <v>378</v>
      </c>
      <c r="CQ88" s="546">
        <v>72006082</v>
      </c>
      <c r="CR88" s="546">
        <v>16395438</v>
      </c>
      <c r="CS88" s="546">
        <v>71047018</v>
      </c>
      <c r="CT88" s="546">
        <v>959064</v>
      </c>
      <c r="CU88" s="546">
        <f t="shared" si="68"/>
        <v>72006.081999999995</v>
      </c>
      <c r="CV88" s="546">
        <f t="shared" si="69"/>
        <v>16395.437999999998</v>
      </c>
      <c r="CW88" s="546">
        <f t="shared" si="70"/>
        <v>71047.017999999996</v>
      </c>
      <c r="CX88" s="546">
        <f t="shared" si="71"/>
        <v>959.06399999999996</v>
      </c>
      <c r="CZ88" s="547" t="s">
        <v>568</v>
      </c>
      <c r="DA88" s="546">
        <v>2067535</v>
      </c>
      <c r="DB88" s="546">
        <f t="shared" si="102"/>
        <v>2067.5349999999999</v>
      </c>
      <c r="DE88" s="544" t="s">
        <v>378</v>
      </c>
      <c r="DF88" s="545">
        <v>72006082</v>
      </c>
      <c r="DG88" s="545">
        <v>16395438</v>
      </c>
      <c r="DH88" s="545">
        <v>71047018</v>
      </c>
      <c r="DI88" s="545">
        <v>959064</v>
      </c>
      <c r="DJ88" s="546">
        <f t="shared" si="103"/>
        <v>72006.081999999995</v>
      </c>
      <c r="DK88" s="546">
        <f t="shared" si="104"/>
        <v>16395.437999999998</v>
      </c>
      <c r="DL88" s="546">
        <f t="shared" si="105"/>
        <v>71047.017999999996</v>
      </c>
      <c r="DM88" s="546">
        <f t="shared" si="106"/>
        <v>959.06399999999996</v>
      </c>
      <c r="DP88" s="544" t="s">
        <v>392</v>
      </c>
      <c r="DQ88" s="545">
        <v>7485000</v>
      </c>
      <c r="DR88" s="546">
        <f t="shared" si="107"/>
        <v>7485</v>
      </c>
      <c r="DT88" s="544" t="s">
        <v>378</v>
      </c>
      <c r="DU88" s="545">
        <v>72006082</v>
      </c>
      <c r="DV88" s="545">
        <v>21860594</v>
      </c>
      <c r="DW88" s="545">
        <v>71047018</v>
      </c>
      <c r="DX88" s="545">
        <v>959064</v>
      </c>
      <c r="DY88" s="546">
        <f t="shared" si="108"/>
        <v>72006.081999999995</v>
      </c>
      <c r="DZ88" s="546">
        <f t="shared" si="109"/>
        <v>21860.594000000001</v>
      </c>
      <c r="EA88" s="546">
        <f t="shared" si="110"/>
        <v>71047.017999999996</v>
      </c>
      <c r="EB88" s="546">
        <f t="shared" si="111"/>
        <v>959.06399999999996</v>
      </c>
      <c r="EE88" s="547" t="s">
        <v>394</v>
      </c>
      <c r="EF88" s="546">
        <v>60680157</v>
      </c>
      <c r="EG88" s="548">
        <f t="shared" si="112"/>
        <v>60680.156999999999</v>
      </c>
      <c r="EI88" s="547" t="s">
        <v>376</v>
      </c>
      <c r="EJ88" s="546">
        <v>2392000</v>
      </c>
      <c r="EK88" s="546">
        <v>2298797</v>
      </c>
      <c r="EL88" s="546">
        <v>1887894</v>
      </c>
      <c r="EM88" s="548">
        <f t="shared" si="113"/>
        <v>2392</v>
      </c>
      <c r="EN88" s="548">
        <f t="shared" si="114"/>
        <v>2298.797</v>
      </c>
      <c r="EO88" s="548">
        <f t="shared" si="115"/>
        <v>1887.894</v>
      </c>
      <c r="ER88" s="544" t="s">
        <v>572</v>
      </c>
      <c r="ES88" s="545">
        <v>1066600</v>
      </c>
      <c r="ET88" s="546">
        <f t="shared" si="116"/>
        <v>1066.5999999999999</v>
      </c>
      <c r="EW88" s="544" t="s">
        <v>377</v>
      </c>
      <c r="EX88" s="545">
        <v>0</v>
      </c>
      <c r="EY88" s="545">
        <v>14550340</v>
      </c>
      <c r="EZ88" s="545">
        <v>11910340</v>
      </c>
      <c r="FA88" s="545">
        <v>14550340</v>
      </c>
      <c r="FB88" s="545">
        <v>0</v>
      </c>
      <c r="FC88" s="546">
        <f t="shared" si="126"/>
        <v>0</v>
      </c>
      <c r="FD88" s="546">
        <f t="shared" si="127"/>
        <v>14550.34</v>
      </c>
      <c r="FE88" s="546">
        <f t="shared" si="128"/>
        <v>11910.34</v>
      </c>
      <c r="FF88" s="546">
        <f t="shared" si="129"/>
        <v>14550.34</v>
      </c>
      <c r="FG88" s="546">
        <f t="shared" si="130"/>
        <v>0</v>
      </c>
      <c r="FJ88" s="547" t="s">
        <v>471</v>
      </c>
      <c r="FK88" s="546">
        <v>1944110</v>
      </c>
      <c r="FL88" s="548">
        <f t="shared" si="122"/>
        <v>1944.11</v>
      </c>
      <c r="FN88" s="549" t="s">
        <v>376</v>
      </c>
      <c r="FO88" s="550">
        <v>2287547</v>
      </c>
      <c r="FP88" s="550">
        <v>2287547</v>
      </c>
      <c r="FQ88" s="550">
        <v>2287547</v>
      </c>
      <c r="FR88" s="550">
        <f t="shared" si="123"/>
        <v>2287.547</v>
      </c>
      <c r="FS88" s="550">
        <f t="shared" si="124"/>
        <v>2287.547</v>
      </c>
      <c r="FT88" s="550">
        <f t="shared" si="125"/>
        <v>2287.547</v>
      </c>
    </row>
    <row r="89" spans="1:176" ht="15" customHeight="1" x14ac:dyDescent="0.25">
      <c r="A89" s="890" t="s">
        <v>888</v>
      </c>
      <c r="B89" s="544" t="s">
        <v>381</v>
      </c>
      <c r="C89" s="545">
        <v>0</v>
      </c>
      <c r="D89" s="545">
        <v>50902635</v>
      </c>
      <c r="E89" s="545">
        <v>1569711</v>
      </c>
      <c r="F89" s="545">
        <v>49332924</v>
      </c>
      <c r="G89" s="545">
        <v>777147</v>
      </c>
      <c r="H89" s="546">
        <f t="shared" si="72"/>
        <v>53040.545670000007</v>
      </c>
      <c r="I89" s="546">
        <f t="shared" si="73"/>
        <v>1635.638862</v>
      </c>
      <c r="J89" s="546">
        <f t="shared" si="74"/>
        <v>51404.906808</v>
      </c>
      <c r="K89" s="546">
        <f t="shared" si="75"/>
        <v>809.78717400000005</v>
      </c>
      <c r="O89" s="544"/>
      <c r="P89" s="545"/>
      <c r="Q89" s="546"/>
      <c r="S89" s="544" t="s">
        <v>559</v>
      </c>
      <c r="T89" s="545">
        <v>38400000</v>
      </c>
      <c r="U89" s="545">
        <v>3135806</v>
      </c>
      <c r="V89" s="545">
        <v>34493866</v>
      </c>
      <c r="W89" s="545">
        <v>3906134</v>
      </c>
      <c r="X89" s="546">
        <f t="shared" si="77"/>
        <v>40012.800000000003</v>
      </c>
      <c r="Y89" s="546">
        <f t="shared" si="78"/>
        <v>3267.5098520000001</v>
      </c>
      <c r="Z89" s="546">
        <f t="shared" si="79"/>
        <v>35942.608372000002</v>
      </c>
      <c r="AA89" s="546">
        <f t="shared" si="80"/>
        <v>4070.191628</v>
      </c>
      <c r="AC89" s="544" t="s">
        <v>571</v>
      </c>
      <c r="AD89" s="545">
        <v>207054012</v>
      </c>
      <c r="AE89" s="546">
        <f t="shared" si="81"/>
        <v>207054.01199999999</v>
      </c>
      <c r="AG89" s="544" t="s">
        <v>380</v>
      </c>
      <c r="AH89" s="545">
        <v>5760000</v>
      </c>
      <c r="AI89" s="545">
        <v>948634</v>
      </c>
      <c r="AJ89" s="545">
        <v>4268853</v>
      </c>
      <c r="AK89" s="545">
        <v>1491147</v>
      </c>
      <c r="AL89" s="545">
        <f t="shared" si="82"/>
        <v>5760</v>
      </c>
      <c r="AM89" s="545">
        <f t="shared" si="83"/>
        <v>948.63400000000001</v>
      </c>
      <c r="AN89" s="545">
        <f t="shared" si="84"/>
        <v>4268.8530000000001</v>
      </c>
      <c r="AO89" s="545">
        <f t="shared" si="85"/>
        <v>1491.1469999999999</v>
      </c>
      <c r="AR89" s="544" t="s">
        <v>852</v>
      </c>
      <c r="AS89" s="545">
        <v>27389354</v>
      </c>
      <c r="AT89" s="545">
        <f t="shared" si="86"/>
        <v>27389.353999999999</v>
      </c>
      <c r="AV89" s="544" t="s">
        <v>380</v>
      </c>
      <c r="AW89" s="545">
        <v>5760000</v>
      </c>
      <c r="AX89" s="545">
        <v>1422951</v>
      </c>
      <c r="AY89" s="545">
        <v>4268853</v>
      </c>
      <c r="AZ89" s="545">
        <v>1491147</v>
      </c>
      <c r="BA89" s="546">
        <f t="shared" si="87"/>
        <v>5760</v>
      </c>
      <c r="BB89" s="546">
        <f t="shared" si="88"/>
        <v>1422.951</v>
      </c>
      <c r="BC89" s="546">
        <f t="shared" si="89"/>
        <v>4268.8530000000001</v>
      </c>
      <c r="BD89" s="546">
        <f t="shared" si="90"/>
        <v>1491.1469999999999</v>
      </c>
      <c r="BK89" s="544" t="s">
        <v>379</v>
      </c>
      <c r="BL89" s="545">
        <v>4842754</v>
      </c>
      <c r="BM89" s="545">
        <v>0</v>
      </c>
      <c r="BN89" s="545">
        <v>3783060</v>
      </c>
      <c r="BO89" s="545">
        <v>1059694</v>
      </c>
      <c r="BP89" s="545">
        <f t="shared" si="92"/>
        <v>4842.7539999999999</v>
      </c>
      <c r="BQ89" s="545">
        <f t="shared" si="93"/>
        <v>0</v>
      </c>
      <c r="BR89" s="545">
        <f t="shared" si="94"/>
        <v>3783.06</v>
      </c>
      <c r="BS89" s="545">
        <f t="shared" si="95"/>
        <v>1059.694</v>
      </c>
      <c r="BV89" s="544" t="s">
        <v>393</v>
      </c>
      <c r="BW89" s="545">
        <v>1680000</v>
      </c>
      <c r="BX89" s="546">
        <f t="shared" si="96"/>
        <v>1680</v>
      </c>
      <c r="BZ89" s="544" t="s">
        <v>379</v>
      </c>
      <c r="CA89" s="545">
        <v>4842754</v>
      </c>
      <c r="CB89" s="545">
        <v>0</v>
      </c>
      <c r="CC89" s="545">
        <v>4204544</v>
      </c>
      <c r="CD89" s="545">
        <v>638210</v>
      </c>
      <c r="CE89" s="545">
        <f t="shared" si="97"/>
        <v>4842.7539999999999</v>
      </c>
      <c r="CF89" s="545">
        <f t="shared" si="98"/>
        <v>0</v>
      </c>
      <c r="CG89" s="545">
        <f t="shared" si="99"/>
        <v>4204.5439999999999</v>
      </c>
      <c r="CH89" s="545">
        <f t="shared" si="100"/>
        <v>638.21</v>
      </c>
      <c r="CK89" s="547" t="s">
        <v>570</v>
      </c>
      <c r="CL89" s="546">
        <v>9518180</v>
      </c>
      <c r="CM89" s="546">
        <f t="shared" si="101"/>
        <v>9518.18</v>
      </c>
      <c r="CP89" s="547" t="s">
        <v>379</v>
      </c>
      <c r="CQ89" s="546">
        <v>4390263</v>
      </c>
      <c r="CR89" s="546">
        <v>0</v>
      </c>
      <c r="CS89" s="546">
        <v>4204544</v>
      </c>
      <c r="CT89" s="546">
        <v>185719</v>
      </c>
      <c r="CU89" s="546">
        <f t="shared" si="68"/>
        <v>4390.2629999999999</v>
      </c>
      <c r="CV89" s="546">
        <f t="shared" si="69"/>
        <v>0</v>
      </c>
      <c r="CW89" s="546">
        <f t="shared" si="70"/>
        <v>4204.5439999999999</v>
      </c>
      <c r="CX89" s="546">
        <f t="shared" si="71"/>
        <v>185.71899999999999</v>
      </c>
      <c r="CZ89" s="547" t="s">
        <v>569</v>
      </c>
      <c r="DA89" s="546">
        <v>9390390</v>
      </c>
      <c r="DB89" s="546">
        <f t="shared" si="102"/>
        <v>9390.39</v>
      </c>
      <c r="DE89" s="544" t="s">
        <v>379</v>
      </c>
      <c r="DF89" s="545">
        <v>4390263</v>
      </c>
      <c r="DG89" s="545">
        <v>0</v>
      </c>
      <c r="DH89" s="545">
        <v>4204544</v>
      </c>
      <c r="DI89" s="545">
        <v>185719</v>
      </c>
      <c r="DJ89" s="546">
        <f t="shared" si="103"/>
        <v>4390.2629999999999</v>
      </c>
      <c r="DK89" s="546">
        <f t="shared" si="104"/>
        <v>0</v>
      </c>
      <c r="DL89" s="546">
        <f t="shared" si="105"/>
        <v>4204.5439999999999</v>
      </c>
      <c r="DM89" s="546">
        <f t="shared" si="106"/>
        <v>185.71899999999999</v>
      </c>
      <c r="DP89" s="544" t="s">
        <v>393</v>
      </c>
      <c r="DQ89" s="545">
        <v>975000</v>
      </c>
      <c r="DR89" s="546">
        <f t="shared" si="107"/>
        <v>975</v>
      </c>
      <c r="DT89" s="544" t="s">
        <v>379</v>
      </c>
      <c r="DU89" s="545">
        <v>4390263</v>
      </c>
      <c r="DV89" s="545">
        <v>629961</v>
      </c>
      <c r="DW89" s="545">
        <v>4204544</v>
      </c>
      <c r="DX89" s="545">
        <v>185719</v>
      </c>
      <c r="DY89" s="546">
        <f t="shared" si="108"/>
        <v>4390.2629999999999</v>
      </c>
      <c r="DZ89" s="546">
        <f t="shared" si="109"/>
        <v>629.96100000000001</v>
      </c>
      <c r="EA89" s="546">
        <f t="shared" si="110"/>
        <v>4204.5439999999999</v>
      </c>
      <c r="EB89" s="546">
        <f t="shared" si="111"/>
        <v>185.71899999999999</v>
      </c>
      <c r="EE89" s="547" t="s">
        <v>395</v>
      </c>
      <c r="EF89" s="546">
        <v>24990000</v>
      </c>
      <c r="EG89" s="548">
        <f t="shared" si="112"/>
        <v>24990</v>
      </c>
      <c r="EI89" s="547" t="s">
        <v>377</v>
      </c>
      <c r="EJ89" s="546">
        <v>18621180</v>
      </c>
      <c r="EK89" s="546">
        <v>18240000</v>
      </c>
      <c r="EL89" s="546">
        <v>7970077</v>
      </c>
      <c r="EM89" s="548">
        <f t="shared" si="113"/>
        <v>18621.18</v>
      </c>
      <c r="EN89" s="548">
        <f t="shared" si="114"/>
        <v>18240</v>
      </c>
      <c r="EO89" s="548">
        <f t="shared" si="115"/>
        <v>7970.0770000000002</v>
      </c>
      <c r="ER89" s="544" t="s">
        <v>396</v>
      </c>
      <c r="ES89" s="545">
        <v>1066600</v>
      </c>
      <c r="ET89" s="546">
        <f t="shared" si="116"/>
        <v>1066.5999999999999</v>
      </c>
      <c r="EW89" s="544" t="s">
        <v>378</v>
      </c>
      <c r="EX89" s="545">
        <v>0</v>
      </c>
      <c r="EY89" s="545">
        <v>71047018</v>
      </c>
      <c r="EZ89" s="545">
        <v>38256042</v>
      </c>
      <c r="FA89" s="545">
        <v>71047018</v>
      </c>
      <c r="FB89" s="545">
        <v>0</v>
      </c>
      <c r="FC89" s="546">
        <f t="shared" si="126"/>
        <v>0</v>
      </c>
      <c r="FD89" s="546">
        <f t="shared" si="127"/>
        <v>71047.017999999996</v>
      </c>
      <c r="FE89" s="546">
        <f t="shared" si="128"/>
        <v>38256.042000000001</v>
      </c>
      <c r="FF89" s="546">
        <f t="shared" si="129"/>
        <v>71047.017999999996</v>
      </c>
      <c r="FG89" s="546">
        <f t="shared" si="130"/>
        <v>0</v>
      </c>
      <c r="FJ89" s="547" t="s">
        <v>828</v>
      </c>
      <c r="FK89" s="546">
        <v>100000</v>
      </c>
      <c r="FL89" s="548">
        <f t="shared" si="122"/>
        <v>100</v>
      </c>
      <c r="FN89" s="549" t="s">
        <v>377</v>
      </c>
      <c r="FO89" s="550">
        <v>13896315</v>
      </c>
      <c r="FP89" s="550">
        <v>13896314</v>
      </c>
      <c r="FQ89" s="550">
        <v>13896315</v>
      </c>
      <c r="FR89" s="550">
        <f t="shared" si="123"/>
        <v>13896.315000000001</v>
      </c>
      <c r="FS89" s="550">
        <f t="shared" si="124"/>
        <v>13896.314</v>
      </c>
      <c r="FT89" s="550">
        <f t="shared" si="125"/>
        <v>13896.315000000001</v>
      </c>
    </row>
    <row r="90" spans="1:176" ht="15" customHeight="1" x14ac:dyDescent="0.25">
      <c r="A90" s="890" t="s">
        <v>889</v>
      </c>
      <c r="B90" s="544" t="s">
        <v>560</v>
      </c>
      <c r="C90" s="545">
        <v>0</v>
      </c>
      <c r="D90" s="545">
        <v>16061790</v>
      </c>
      <c r="E90" s="545">
        <v>62190</v>
      </c>
      <c r="F90" s="545">
        <v>15999600</v>
      </c>
      <c r="G90" s="545">
        <v>62190</v>
      </c>
      <c r="H90" s="546">
        <f t="shared" si="72"/>
        <v>16736.385180000001</v>
      </c>
      <c r="I90" s="546">
        <f t="shared" si="73"/>
        <v>64.80198</v>
      </c>
      <c r="J90" s="546">
        <f t="shared" si="74"/>
        <v>16671.583200000001</v>
      </c>
      <c r="K90" s="546">
        <f t="shared" si="75"/>
        <v>64.80198</v>
      </c>
      <c r="O90" s="544"/>
      <c r="P90" s="545"/>
      <c r="Q90" s="546"/>
      <c r="S90" s="544" t="s">
        <v>381</v>
      </c>
      <c r="T90" s="545">
        <v>49732064</v>
      </c>
      <c r="U90" s="545">
        <v>1265082</v>
      </c>
      <c r="V90" s="545">
        <v>2284127</v>
      </c>
      <c r="W90" s="545">
        <v>47447937</v>
      </c>
      <c r="X90" s="546">
        <f t="shared" si="77"/>
        <v>51820.810687999998</v>
      </c>
      <c r="Y90" s="546">
        <f t="shared" si="78"/>
        <v>1318.2154440000002</v>
      </c>
      <c r="Z90" s="546">
        <f t="shared" si="79"/>
        <v>2380.0603340000002</v>
      </c>
      <c r="AA90" s="546">
        <f t="shared" si="80"/>
        <v>49440.750353999996</v>
      </c>
      <c r="AC90" s="544" t="s">
        <v>392</v>
      </c>
      <c r="AD90" s="545">
        <v>200987666</v>
      </c>
      <c r="AE90" s="546">
        <f t="shared" si="81"/>
        <v>200987.666</v>
      </c>
      <c r="AG90" s="544" t="s">
        <v>559</v>
      </c>
      <c r="AH90" s="545">
        <v>38400000</v>
      </c>
      <c r="AI90" s="545">
        <v>9407418</v>
      </c>
      <c r="AJ90" s="545">
        <v>34493866</v>
      </c>
      <c r="AK90" s="545">
        <v>3906134</v>
      </c>
      <c r="AL90" s="545">
        <f t="shared" si="82"/>
        <v>38400</v>
      </c>
      <c r="AM90" s="545">
        <f t="shared" si="83"/>
        <v>9407.4179999999997</v>
      </c>
      <c r="AN90" s="545">
        <f t="shared" si="84"/>
        <v>34493.866000000002</v>
      </c>
      <c r="AO90" s="545">
        <f t="shared" si="85"/>
        <v>3906.134</v>
      </c>
      <c r="AR90" s="544" t="s">
        <v>580</v>
      </c>
      <c r="AS90" s="545">
        <v>6196225</v>
      </c>
      <c r="AT90" s="545">
        <f t="shared" si="86"/>
        <v>6196.2250000000004</v>
      </c>
      <c r="AV90" s="544" t="s">
        <v>559</v>
      </c>
      <c r="AW90" s="545">
        <v>38400000</v>
      </c>
      <c r="AX90" s="545">
        <v>12543224</v>
      </c>
      <c r="AY90" s="545">
        <v>34493866</v>
      </c>
      <c r="AZ90" s="545">
        <v>3906134</v>
      </c>
      <c r="BA90" s="546">
        <f t="shared" si="87"/>
        <v>38400</v>
      </c>
      <c r="BB90" s="546">
        <f t="shared" si="88"/>
        <v>12543.224</v>
      </c>
      <c r="BC90" s="546">
        <f t="shared" si="89"/>
        <v>34493.866000000002</v>
      </c>
      <c r="BD90" s="546">
        <f t="shared" si="90"/>
        <v>3906.134</v>
      </c>
      <c r="BK90" s="544" t="s">
        <v>380</v>
      </c>
      <c r="BL90" s="545">
        <v>5760000</v>
      </c>
      <c r="BM90" s="545">
        <v>1897268</v>
      </c>
      <c r="BN90" s="545">
        <v>4268853</v>
      </c>
      <c r="BO90" s="545">
        <v>1491147</v>
      </c>
      <c r="BP90" s="545">
        <f t="shared" si="92"/>
        <v>5760</v>
      </c>
      <c r="BQ90" s="545">
        <f t="shared" si="93"/>
        <v>1897.268</v>
      </c>
      <c r="BR90" s="545">
        <f t="shared" si="94"/>
        <v>4268.8530000000001</v>
      </c>
      <c r="BS90" s="545">
        <f t="shared" si="95"/>
        <v>1491.1469999999999</v>
      </c>
      <c r="BV90" s="544" t="s">
        <v>394</v>
      </c>
      <c r="BW90" s="545">
        <v>2666346</v>
      </c>
      <c r="BX90" s="546">
        <f t="shared" si="96"/>
        <v>2666.346</v>
      </c>
      <c r="BZ90" s="544" t="s">
        <v>380</v>
      </c>
      <c r="CA90" s="545">
        <v>5760000</v>
      </c>
      <c r="CB90" s="545">
        <v>2371585</v>
      </c>
      <c r="CC90" s="545">
        <v>4268853</v>
      </c>
      <c r="CD90" s="545">
        <v>1491147</v>
      </c>
      <c r="CE90" s="545">
        <f t="shared" si="97"/>
        <v>5760</v>
      </c>
      <c r="CF90" s="545">
        <f t="shared" si="98"/>
        <v>2371.585</v>
      </c>
      <c r="CG90" s="545">
        <f t="shared" si="99"/>
        <v>4268.8530000000001</v>
      </c>
      <c r="CH90" s="545">
        <f t="shared" si="100"/>
        <v>1491.1469999999999</v>
      </c>
      <c r="CK90" s="547" t="s">
        <v>391</v>
      </c>
      <c r="CL90" s="546">
        <v>9488289</v>
      </c>
      <c r="CM90" s="546">
        <f t="shared" si="101"/>
        <v>9488.2890000000007</v>
      </c>
      <c r="CP90" s="547" t="s">
        <v>380</v>
      </c>
      <c r="CQ90" s="546">
        <v>5760000</v>
      </c>
      <c r="CR90" s="546">
        <v>2845902</v>
      </c>
      <c r="CS90" s="546">
        <v>4268853</v>
      </c>
      <c r="CT90" s="546">
        <v>1491147</v>
      </c>
      <c r="CU90" s="546">
        <f t="shared" si="68"/>
        <v>5760</v>
      </c>
      <c r="CV90" s="546">
        <f t="shared" si="69"/>
        <v>2845.902</v>
      </c>
      <c r="CW90" s="546">
        <f t="shared" si="70"/>
        <v>4268.8530000000001</v>
      </c>
      <c r="CX90" s="546">
        <f t="shared" si="71"/>
        <v>1491.1469999999999</v>
      </c>
      <c r="CZ90" s="547" t="s">
        <v>472</v>
      </c>
      <c r="DA90" s="546">
        <v>2388858</v>
      </c>
      <c r="DB90" s="546">
        <f t="shared" si="102"/>
        <v>2388.8580000000002</v>
      </c>
      <c r="DE90" s="544" t="s">
        <v>380</v>
      </c>
      <c r="DF90" s="545">
        <v>5360000</v>
      </c>
      <c r="DG90" s="545">
        <v>3320219</v>
      </c>
      <c r="DH90" s="545">
        <v>4268853</v>
      </c>
      <c r="DI90" s="545">
        <v>1091147</v>
      </c>
      <c r="DJ90" s="546">
        <f t="shared" si="103"/>
        <v>5360</v>
      </c>
      <c r="DK90" s="546">
        <f t="shared" si="104"/>
        <v>3320.2190000000001</v>
      </c>
      <c r="DL90" s="546">
        <f t="shared" si="105"/>
        <v>4268.8530000000001</v>
      </c>
      <c r="DM90" s="546">
        <f t="shared" si="106"/>
        <v>1091.1469999999999</v>
      </c>
      <c r="DP90" s="544" t="s">
        <v>395</v>
      </c>
      <c r="DQ90" s="545">
        <v>18921000</v>
      </c>
      <c r="DR90" s="546">
        <f t="shared" si="107"/>
        <v>18921</v>
      </c>
      <c r="DT90" s="544" t="s">
        <v>380</v>
      </c>
      <c r="DU90" s="545">
        <v>5360000</v>
      </c>
      <c r="DV90" s="545">
        <v>3794536</v>
      </c>
      <c r="DW90" s="545">
        <v>4268853</v>
      </c>
      <c r="DX90" s="545">
        <v>1091147</v>
      </c>
      <c r="DY90" s="546">
        <f t="shared" si="108"/>
        <v>5360</v>
      </c>
      <c r="DZ90" s="546">
        <f t="shared" si="109"/>
        <v>3794.5360000000001</v>
      </c>
      <c r="EA90" s="546">
        <f t="shared" si="110"/>
        <v>4268.8530000000001</v>
      </c>
      <c r="EB90" s="546">
        <f t="shared" si="111"/>
        <v>1091.1469999999999</v>
      </c>
      <c r="EE90" s="547" t="s">
        <v>572</v>
      </c>
      <c r="EF90" s="546">
        <v>1148476</v>
      </c>
      <c r="EG90" s="548">
        <f t="shared" si="112"/>
        <v>1148.4760000000001</v>
      </c>
      <c r="EI90" s="547" t="s">
        <v>378</v>
      </c>
      <c r="EJ90" s="546">
        <v>71624902</v>
      </c>
      <c r="EK90" s="546">
        <v>71047018</v>
      </c>
      <c r="EL90" s="546">
        <v>27325750</v>
      </c>
      <c r="EM90" s="548">
        <f t="shared" si="113"/>
        <v>71624.902000000002</v>
      </c>
      <c r="EN90" s="548">
        <f t="shared" si="114"/>
        <v>71047.017999999996</v>
      </c>
      <c r="EO90" s="548">
        <f t="shared" si="115"/>
        <v>27325.75</v>
      </c>
      <c r="ER90" s="544" t="s">
        <v>398</v>
      </c>
      <c r="ES90" s="545">
        <v>9565768</v>
      </c>
      <c r="ET90" s="546">
        <f t="shared" si="116"/>
        <v>9565.768</v>
      </c>
      <c r="EW90" s="544" t="s">
        <v>379</v>
      </c>
      <c r="EX90" s="545">
        <v>0</v>
      </c>
      <c r="EY90" s="545">
        <v>4203995</v>
      </c>
      <c r="EZ90" s="545">
        <v>3923005</v>
      </c>
      <c r="FA90" s="545">
        <v>4203995</v>
      </c>
      <c r="FB90" s="545">
        <v>0</v>
      </c>
      <c r="FC90" s="546">
        <f t="shared" si="126"/>
        <v>0</v>
      </c>
      <c r="FD90" s="546">
        <f t="shared" si="127"/>
        <v>4203.9949999999999</v>
      </c>
      <c r="FE90" s="546">
        <f t="shared" si="128"/>
        <v>3923.0050000000001</v>
      </c>
      <c r="FF90" s="546">
        <f t="shared" si="129"/>
        <v>4203.9949999999999</v>
      </c>
      <c r="FG90" s="546">
        <f t="shared" si="130"/>
        <v>0</v>
      </c>
      <c r="FJ90" s="547" t="s">
        <v>565</v>
      </c>
      <c r="FK90" s="546">
        <v>14959124</v>
      </c>
      <c r="FL90" s="548">
        <f t="shared" si="122"/>
        <v>14959.124</v>
      </c>
      <c r="FN90" s="549" t="s">
        <v>378</v>
      </c>
      <c r="FO90" s="550">
        <v>65843267</v>
      </c>
      <c r="FP90" s="550">
        <v>43721198</v>
      </c>
      <c r="FQ90" s="550">
        <v>65843267</v>
      </c>
      <c r="FR90" s="550">
        <f t="shared" si="123"/>
        <v>65843.267000000007</v>
      </c>
      <c r="FS90" s="550">
        <f t="shared" si="124"/>
        <v>43721.197999999997</v>
      </c>
      <c r="FT90" s="550">
        <f t="shared" si="125"/>
        <v>65843.267000000007</v>
      </c>
    </row>
    <row r="91" spans="1:176" ht="15" customHeight="1" x14ac:dyDescent="0.25">
      <c r="A91" s="890" t="s">
        <v>889</v>
      </c>
      <c r="B91" s="544" t="s">
        <v>561</v>
      </c>
      <c r="C91" s="545">
        <v>0</v>
      </c>
      <c r="D91" s="545">
        <v>20579900</v>
      </c>
      <c r="E91" s="545">
        <v>1507521</v>
      </c>
      <c r="F91" s="545">
        <v>19072379</v>
      </c>
      <c r="G91" s="545">
        <v>714957</v>
      </c>
      <c r="H91" s="546">
        <f t="shared" si="72"/>
        <v>21444.255800000003</v>
      </c>
      <c r="I91" s="546">
        <f t="shared" si="73"/>
        <v>1570.8368820000001</v>
      </c>
      <c r="J91" s="546">
        <f t="shared" si="74"/>
        <v>19873.418918000003</v>
      </c>
      <c r="K91" s="546">
        <f t="shared" si="75"/>
        <v>744.98519399999998</v>
      </c>
      <c r="O91" s="544"/>
      <c r="P91" s="545"/>
      <c r="Q91" s="546"/>
      <c r="S91" s="544" t="s">
        <v>560</v>
      </c>
      <c r="T91" s="545">
        <v>14891219</v>
      </c>
      <c r="U91" s="545">
        <v>62190</v>
      </c>
      <c r="V91" s="545">
        <v>62190</v>
      </c>
      <c r="W91" s="545">
        <v>14829029</v>
      </c>
      <c r="X91" s="546">
        <f t="shared" si="77"/>
        <v>15516.650197999999</v>
      </c>
      <c r="Y91" s="546">
        <f t="shared" si="78"/>
        <v>64.80198</v>
      </c>
      <c r="Z91" s="546">
        <f t="shared" si="79"/>
        <v>64.80198</v>
      </c>
      <c r="AA91" s="546">
        <f t="shared" si="80"/>
        <v>15451.848218000001</v>
      </c>
      <c r="AC91" s="544" t="s">
        <v>394</v>
      </c>
      <c r="AD91" s="545">
        <v>6066346</v>
      </c>
      <c r="AE91" s="546">
        <f t="shared" si="81"/>
        <v>6066.3459999999995</v>
      </c>
      <c r="AG91" s="544" t="s">
        <v>381</v>
      </c>
      <c r="AH91" s="545">
        <v>49246314</v>
      </c>
      <c r="AI91" s="545">
        <v>2861898</v>
      </c>
      <c r="AJ91" s="545">
        <v>5814973</v>
      </c>
      <c r="AK91" s="545">
        <v>43431341</v>
      </c>
      <c r="AL91" s="545">
        <f t="shared" si="82"/>
        <v>49246.313999999998</v>
      </c>
      <c r="AM91" s="545">
        <f t="shared" si="83"/>
        <v>2861.8980000000001</v>
      </c>
      <c r="AN91" s="545">
        <f t="shared" si="84"/>
        <v>5814.973</v>
      </c>
      <c r="AO91" s="545">
        <f t="shared" si="85"/>
        <v>43431.341</v>
      </c>
      <c r="AR91" s="544" t="s">
        <v>401</v>
      </c>
      <c r="AS91" s="545">
        <v>6196225</v>
      </c>
      <c r="AT91" s="545">
        <f t="shared" si="86"/>
        <v>6196.2250000000004</v>
      </c>
      <c r="AV91" s="544" t="s">
        <v>381</v>
      </c>
      <c r="AW91" s="545">
        <v>46095632</v>
      </c>
      <c r="AX91" s="545">
        <v>6404318</v>
      </c>
      <c r="AY91" s="545">
        <v>9553570</v>
      </c>
      <c r="AZ91" s="545">
        <v>36542062</v>
      </c>
      <c r="BA91" s="546">
        <f t="shared" si="87"/>
        <v>46095.631999999998</v>
      </c>
      <c r="BB91" s="546">
        <f t="shared" si="88"/>
        <v>6404.3180000000002</v>
      </c>
      <c r="BC91" s="546">
        <f t="shared" si="89"/>
        <v>9553.57</v>
      </c>
      <c r="BD91" s="546">
        <f t="shared" si="90"/>
        <v>36542.061999999998</v>
      </c>
      <c r="BK91" s="544" t="s">
        <v>559</v>
      </c>
      <c r="BL91" s="545">
        <v>38400000</v>
      </c>
      <c r="BM91" s="545">
        <v>15679030</v>
      </c>
      <c r="BN91" s="545">
        <v>34937815</v>
      </c>
      <c r="BO91" s="545">
        <v>3462185</v>
      </c>
      <c r="BP91" s="545">
        <f t="shared" si="92"/>
        <v>38400</v>
      </c>
      <c r="BQ91" s="545">
        <f t="shared" si="93"/>
        <v>15679.03</v>
      </c>
      <c r="BR91" s="545">
        <f t="shared" si="94"/>
        <v>34937.815000000002</v>
      </c>
      <c r="BS91" s="545">
        <f t="shared" si="95"/>
        <v>3462.1849999999999</v>
      </c>
      <c r="BV91" s="544" t="s">
        <v>572</v>
      </c>
      <c r="BW91" s="545">
        <v>855535</v>
      </c>
      <c r="BX91" s="546">
        <f t="shared" si="96"/>
        <v>855.53499999999997</v>
      </c>
      <c r="BZ91" s="544" t="s">
        <v>559</v>
      </c>
      <c r="CA91" s="545">
        <v>40458000</v>
      </c>
      <c r="CB91" s="545">
        <v>18814836</v>
      </c>
      <c r="CC91" s="545">
        <v>36601435</v>
      </c>
      <c r="CD91" s="545">
        <v>3856565</v>
      </c>
      <c r="CE91" s="545">
        <f t="shared" si="97"/>
        <v>40458</v>
      </c>
      <c r="CF91" s="545">
        <f t="shared" si="98"/>
        <v>18814.835999999999</v>
      </c>
      <c r="CG91" s="545">
        <f t="shared" si="99"/>
        <v>36601.434999999998</v>
      </c>
      <c r="CH91" s="545">
        <f t="shared" si="100"/>
        <v>3856.5650000000001</v>
      </c>
      <c r="CK91" s="547" t="s">
        <v>481</v>
      </c>
      <c r="CL91" s="546">
        <v>29891</v>
      </c>
      <c r="CM91" s="546">
        <f t="shared" si="101"/>
        <v>29.890999999999998</v>
      </c>
      <c r="CP91" s="547" t="s">
        <v>559</v>
      </c>
      <c r="CQ91" s="546">
        <v>41517100</v>
      </c>
      <c r="CR91" s="546">
        <v>20478456</v>
      </c>
      <c r="CS91" s="546">
        <v>38018310</v>
      </c>
      <c r="CT91" s="546">
        <v>3498790</v>
      </c>
      <c r="CU91" s="546">
        <f t="shared" si="68"/>
        <v>41517.1</v>
      </c>
      <c r="CV91" s="546">
        <f t="shared" si="69"/>
        <v>20478.455999999998</v>
      </c>
      <c r="CW91" s="546">
        <f t="shared" si="70"/>
        <v>38018.31</v>
      </c>
      <c r="CX91" s="546">
        <f t="shared" si="71"/>
        <v>3498.79</v>
      </c>
      <c r="CZ91" s="547" t="s">
        <v>571</v>
      </c>
      <c r="DA91" s="546">
        <v>200054653</v>
      </c>
      <c r="DB91" s="546">
        <f t="shared" si="102"/>
        <v>200054.65299999999</v>
      </c>
      <c r="DE91" s="544" t="s">
        <v>559</v>
      </c>
      <c r="DF91" s="545">
        <v>41788248</v>
      </c>
      <c r="DG91" s="545">
        <v>20478456</v>
      </c>
      <c r="DH91" s="545">
        <v>38018310</v>
      </c>
      <c r="DI91" s="545">
        <v>3769938</v>
      </c>
      <c r="DJ91" s="546">
        <f t="shared" si="103"/>
        <v>41788.248</v>
      </c>
      <c r="DK91" s="546">
        <f t="shared" si="104"/>
        <v>20478.455999999998</v>
      </c>
      <c r="DL91" s="546">
        <f t="shared" si="105"/>
        <v>38018.31</v>
      </c>
      <c r="DM91" s="546">
        <f t="shared" si="106"/>
        <v>3769.9380000000001</v>
      </c>
      <c r="DP91" s="544" t="s">
        <v>572</v>
      </c>
      <c r="DQ91" s="545">
        <v>913980</v>
      </c>
      <c r="DR91" s="546">
        <f t="shared" si="107"/>
        <v>913.98</v>
      </c>
      <c r="DT91" s="544" t="s">
        <v>559</v>
      </c>
      <c r="DU91" s="545">
        <v>41788248</v>
      </c>
      <c r="DV91" s="545">
        <v>30944974</v>
      </c>
      <c r="DW91" s="545">
        <v>38018310</v>
      </c>
      <c r="DX91" s="545">
        <v>3769938</v>
      </c>
      <c r="DY91" s="546">
        <f t="shared" si="108"/>
        <v>41788.248</v>
      </c>
      <c r="DZ91" s="546">
        <f t="shared" si="109"/>
        <v>30944.973999999998</v>
      </c>
      <c r="EA91" s="546">
        <f t="shared" si="110"/>
        <v>38018.31</v>
      </c>
      <c r="EB91" s="546">
        <f t="shared" si="111"/>
        <v>3769.9380000000001</v>
      </c>
      <c r="EE91" s="547" t="s">
        <v>396</v>
      </c>
      <c r="EF91" s="546">
        <v>1148476</v>
      </c>
      <c r="EG91" s="548">
        <f t="shared" si="112"/>
        <v>1148.4760000000001</v>
      </c>
      <c r="EI91" s="547" t="s">
        <v>379</v>
      </c>
      <c r="EJ91" s="546">
        <v>4390263</v>
      </c>
      <c r="EK91" s="546">
        <v>4204544</v>
      </c>
      <c r="EL91" s="546">
        <v>3923005</v>
      </c>
      <c r="EM91" s="548">
        <f t="shared" si="113"/>
        <v>4390.2629999999999</v>
      </c>
      <c r="EN91" s="548">
        <f t="shared" si="114"/>
        <v>4204.5439999999999</v>
      </c>
      <c r="EO91" s="548">
        <f t="shared" si="115"/>
        <v>3923.0050000000001</v>
      </c>
      <c r="ER91" s="544" t="s">
        <v>399</v>
      </c>
      <c r="ES91" s="545">
        <v>9565768</v>
      </c>
      <c r="ET91" s="546">
        <f t="shared" si="116"/>
        <v>9565.768</v>
      </c>
      <c r="EW91" s="544" t="s">
        <v>380</v>
      </c>
      <c r="EX91" s="545">
        <v>0</v>
      </c>
      <c r="EY91" s="545">
        <v>4268853</v>
      </c>
      <c r="EZ91" s="545">
        <v>4268853</v>
      </c>
      <c r="FA91" s="545">
        <v>4268853</v>
      </c>
      <c r="FB91" s="545">
        <v>0</v>
      </c>
      <c r="FC91" s="546">
        <f t="shared" si="126"/>
        <v>0</v>
      </c>
      <c r="FD91" s="546">
        <f t="shared" si="127"/>
        <v>4268.8530000000001</v>
      </c>
      <c r="FE91" s="546">
        <f t="shared" si="128"/>
        <v>4268.8530000000001</v>
      </c>
      <c r="FF91" s="546">
        <f t="shared" si="129"/>
        <v>4268.8530000000001</v>
      </c>
      <c r="FG91" s="546">
        <f t="shared" si="130"/>
        <v>0</v>
      </c>
      <c r="FJ91" s="547" t="s">
        <v>566</v>
      </c>
      <c r="FK91" s="546">
        <v>10960800</v>
      </c>
      <c r="FL91" s="548">
        <f t="shared" si="122"/>
        <v>10960.8</v>
      </c>
      <c r="FN91" s="549" t="s">
        <v>379</v>
      </c>
      <c r="FO91" s="550">
        <v>3923005</v>
      </c>
      <c r="FP91" s="550">
        <v>3923005</v>
      </c>
      <c r="FQ91" s="550">
        <v>3923005</v>
      </c>
      <c r="FR91" s="550">
        <f t="shared" si="123"/>
        <v>3923.0050000000001</v>
      </c>
      <c r="FS91" s="550">
        <f t="shared" si="124"/>
        <v>3923.0050000000001</v>
      </c>
      <c r="FT91" s="550">
        <f t="shared" si="125"/>
        <v>3923.0050000000001</v>
      </c>
    </row>
    <row r="92" spans="1:176" ht="15" customHeight="1" x14ac:dyDescent="0.25">
      <c r="A92" s="890" t="s">
        <v>889</v>
      </c>
      <c r="B92" s="544" t="s">
        <v>562</v>
      </c>
      <c r="C92" s="545">
        <v>0</v>
      </c>
      <c r="D92" s="545">
        <v>3000000</v>
      </c>
      <c r="E92" s="545">
        <v>0</v>
      </c>
      <c r="F92" s="545">
        <v>3000000</v>
      </c>
      <c r="G92" s="545">
        <v>0</v>
      </c>
      <c r="H92" s="546">
        <f t="shared" si="72"/>
        <v>3126</v>
      </c>
      <c r="I92" s="546">
        <f t="shared" si="73"/>
        <v>0</v>
      </c>
      <c r="J92" s="546">
        <f t="shared" si="74"/>
        <v>3126</v>
      </c>
      <c r="K92" s="546">
        <f t="shared" si="75"/>
        <v>0</v>
      </c>
      <c r="O92" s="544"/>
      <c r="P92" s="545"/>
      <c r="Q92" s="546"/>
      <c r="S92" s="544" t="s">
        <v>561</v>
      </c>
      <c r="T92" s="545">
        <v>20579900</v>
      </c>
      <c r="U92" s="545">
        <v>1202892</v>
      </c>
      <c r="V92" s="545">
        <v>2221937</v>
      </c>
      <c r="W92" s="545">
        <v>18357963</v>
      </c>
      <c r="X92" s="546">
        <f t="shared" si="77"/>
        <v>21444.255800000003</v>
      </c>
      <c r="Y92" s="546">
        <f t="shared" si="78"/>
        <v>1253.4134640000002</v>
      </c>
      <c r="Z92" s="546">
        <f t="shared" si="79"/>
        <v>2315.2583540000001</v>
      </c>
      <c r="AA92" s="546">
        <f t="shared" si="80"/>
        <v>19128.997446000001</v>
      </c>
      <c r="AC92" s="544" t="s">
        <v>572</v>
      </c>
      <c r="AD92" s="545">
        <v>901651</v>
      </c>
      <c r="AE92" s="546">
        <f t="shared" si="81"/>
        <v>901.65099999999995</v>
      </c>
      <c r="AG92" s="544" t="s">
        <v>560</v>
      </c>
      <c r="AH92" s="545">
        <v>14385469</v>
      </c>
      <c r="AI92" s="545">
        <v>62190</v>
      </c>
      <c r="AJ92" s="545">
        <v>62190</v>
      </c>
      <c r="AK92" s="545">
        <v>14323279</v>
      </c>
      <c r="AL92" s="545">
        <f t="shared" si="82"/>
        <v>14385.468999999999</v>
      </c>
      <c r="AM92" s="545">
        <f t="shared" si="83"/>
        <v>62.19</v>
      </c>
      <c r="AN92" s="545">
        <f t="shared" si="84"/>
        <v>62.19</v>
      </c>
      <c r="AO92" s="545">
        <f t="shared" si="85"/>
        <v>14323.279</v>
      </c>
      <c r="AR92" s="544" t="s">
        <v>582</v>
      </c>
      <c r="AS92" s="545">
        <v>380800</v>
      </c>
      <c r="AT92" s="545">
        <f t="shared" si="86"/>
        <v>380.8</v>
      </c>
      <c r="AV92" s="544" t="s">
        <v>560</v>
      </c>
      <c r="AW92" s="545">
        <v>14467969</v>
      </c>
      <c r="AX92" s="545">
        <v>2043930</v>
      </c>
      <c r="AY92" s="545">
        <v>2043930</v>
      </c>
      <c r="AZ92" s="545">
        <v>12424039</v>
      </c>
      <c r="BA92" s="546">
        <f t="shared" si="87"/>
        <v>14467.968999999999</v>
      </c>
      <c r="BB92" s="546">
        <f t="shared" si="88"/>
        <v>2043.93</v>
      </c>
      <c r="BC92" s="546">
        <f t="shared" si="89"/>
        <v>2043.93</v>
      </c>
      <c r="BD92" s="546">
        <f t="shared" si="90"/>
        <v>12424.039000000001</v>
      </c>
      <c r="BK92" s="544" t="s">
        <v>381</v>
      </c>
      <c r="BL92" s="545">
        <v>54623745</v>
      </c>
      <c r="BM92" s="545">
        <v>7143986</v>
      </c>
      <c r="BN92" s="545">
        <v>11802311</v>
      </c>
      <c r="BO92" s="545">
        <v>42821434</v>
      </c>
      <c r="BP92" s="545">
        <f t="shared" si="92"/>
        <v>54623.745000000003</v>
      </c>
      <c r="BQ92" s="545">
        <f t="shared" si="93"/>
        <v>7143.9859999999999</v>
      </c>
      <c r="BR92" s="545">
        <f t="shared" si="94"/>
        <v>11802.311</v>
      </c>
      <c r="BS92" s="545">
        <f t="shared" si="95"/>
        <v>42821.434000000001</v>
      </c>
      <c r="BV92" s="544" t="s">
        <v>396</v>
      </c>
      <c r="BW92" s="545">
        <v>855535</v>
      </c>
      <c r="BX92" s="546">
        <f t="shared" si="96"/>
        <v>855.53499999999997</v>
      </c>
      <c r="BZ92" s="544" t="s">
        <v>381</v>
      </c>
      <c r="CA92" s="545">
        <v>56782575</v>
      </c>
      <c r="CB92" s="545">
        <v>8484418</v>
      </c>
      <c r="CC92" s="545">
        <v>13923248</v>
      </c>
      <c r="CD92" s="545">
        <v>42859327</v>
      </c>
      <c r="CE92" s="545">
        <f t="shared" si="97"/>
        <v>56782.574999999997</v>
      </c>
      <c r="CF92" s="545">
        <f t="shared" si="98"/>
        <v>8484.4179999999997</v>
      </c>
      <c r="CG92" s="545">
        <f t="shared" si="99"/>
        <v>13923.248</v>
      </c>
      <c r="CH92" s="545">
        <f t="shared" si="100"/>
        <v>42859.326999999997</v>
      </c>
      <c r="CK92" s="547" t="s">
        <v>571</v>
      </c>
      <c r="CL92" s="546">
        <v>159147181</v>
      </c>
      <c r="CM92" s="546">
        <f t="shared" si="101"/>
        <v>159147.18100000001</v>
      </c>
      <c r="CP92" s="547" t="s">
        <v>381</v>
      </c>
      <c r="CQ92" s="546">
        <v>58396189</v>
      </c>
      <c r="CR92" s="546">
        <v>11992880</v>
      </c>
      <c r="CS92" s="546">
        <v>17487258</v>
      </c>
      <c r="CT92" s="546">
        <v>40908931</v>
      </c>
      <c r="CU92" s="546">
        <f t="shared" si="68"/>
        <v>58396.188999999998</v>
      </c>
      <c r="CV92" s="546">
        <f t="shared" si="69"/>
        <v>11992.88</v>
      </c>
      <c r="CW92" s="546">
        <f t="shared" si="70"/>
        <v>17487.258000000002</v>
      </c>
      <c r="CX92" s="546">
        <f t="shared" si="71"/>
        <v>40908.930999999997</v>
      </c>
      <c r="CZ92" s="547" t="s">
        <v>392</v>
      </c>
      <c r="DA92" s="546">
        <v>146819989</v>
      </c>
      <c r="DB92" s="546">
        <f t="shared" si="102"/>
        <v>146819.989</v>
      </c>
      <c r="DE92" s="544" t="s">
        <v>381</v>
      </c>
      <c r="DF92" s="545">
        <v>179533767</v>
      </c>
      <c r="DG92" s="545">
        <v>16392682</v>
      </c>
      <c r="DH92" s="545">
        <v>27107497</v>
      </c>
      <c r="DI92" s="545">
        <v>152426270</v>
      </c>
      <c r="DJ92" s="546">
        <f t="shared" si="103"/>
        <v>179533.76699999999</v>
      </c>
      <c r="DK92" s="546">
        <f t="shared" si="104"/>
        <v>16392.682000000001</v>
      </c>
      <c r="DL92" s="546">
        <f t="shared" si="105"/>
        <v>27107.496999999999</v>
      </c>
      <c r="DM92" s="546">
        <f t="shared" si="106"/>
        <v>152426.26999999999</v>
      </c>
      <c r="DP92" s="544" t="s">
        <v>396</v>
      </c>
      <c r="DQ92" s="545">
        <v>913980</v>
      </c>
      <c r="DR92" s="546">
        <f t="shared" si="107"/>
        <v>913.98</v>
      </c>
      <c r="DT92" s="544" t="s">
        <v>381</v>
      </c>
      <c r="DU92" s="545">
        <v>180815927</v>
      </c>
      <c r="DV92" s="545">
        <v>17360377</v>
      </c>
      <c r="DW92" s="545">
        <v>38779447</v>
      </c>
      <c r="DX92" s="545">
        <v>142036480</v>
      </c>
      <c r="DY92" s="546">
        <f t="shared" si="108"/>
        <v>180815.927</v>
      </c>
      <c r="DZ92" s="546">
        <f t="shared" si="109"/>
        <v>17360.377</v>
      </c>
      <c r="EA92" s="546">
        <f t="shared" si="110"/>
        <v>38779.447</v>
      </c>
      <c r="EB92" s="546">
        <f t="shared" si="111"/>
        <v>142036.48000000001</v>
      </c>
      <c r="EE92" s="547" t="s">
        <v>398</v>
      </c>
      <c r="EF92" s="546">
        <v>8223634</v>
      </c>
      <c r="EG92" s="548">
        <f t="shared" si="112"/>
        <v>8223.634</v>
      </c>
      <c r="EI92" s="547" t="s">
        <v>380</v>
      </c>
      <c r="EJ92" s="546">
        <v>5356617</v>
      </c>
      <c r="EK92" s="546">
        <v>4268853</v>
      </c>
      <c r="EL92" s="546">
        <v>4268853</v>
      </c>
      <c r="EM92" s="548">
        <f t="shared" si="113"/>
        <v>5356.6170000000002</v>
      </c>
      <c r="EN92" s="548">
        <f t="shared" si="114"/>
        <v>4268.8530000000001</v>
      </c>
      <c r="EO92" s="548">
        <f t="shared" si="115"/>
        <v>4268.8530000000001</v>
      </c>
      <c r="ER92" s="544" t="s">
        <v>502</v>
      </c>
      <c r="ES92" s="545">
        <v>9565768</v>
      </c>
      <c r="ET92" s="546">
        <f t="shared" si="116"/>
        <v>9565.768</v>
      </c>
      <c r="EW92" s="544" t="s">
        <v>559</v>
      </c>
      <c r="EX92" s="545">
        <v>0</v>
      </c>
      <c r="EY92" s="545">
        <v>44172893</v>
      </c>
      <c r="EZ92" s="545">
        <v>34894755</v>
      </c>
      <c r="FA92" s="545">
        <v>43712893</v>
      </c>
      <c r="FB92" s="545">
        <v>460000</v>
      </c>
      <c r="FC92" s="546">
        <f t="shared" si="126"/>
        <v>0</v>
      </c>
      <c r="FD92" s="546">
        <f t="shared" si="127"/>
        <v>44172.892999999996</v>
      </c>
      <c r="FE92" s="546">
        <f t="shared" si="128"/>
        <v>34894.754999999997</v>
      </c>
      <c r="FF92" s="546">
        <f t="shared" si="129"/>
        <v>43712.892999999996</v>
      </c>
      <c r="FG92" s="546">
        <f t="shared" si="130"/>
        <v>460</v>
      </c>
      <c r="FJ92" s="547" t="s">
        <v>567</v>
      </c>
      <c r="FK92" s="546">
        <v>246846</v>
      </c>
      <c r="FL92" s="548">
        <f t="shared" si="122"/>
        <v>246.846</v>
      </c>
      <c r="FN92" s="549" t="s">
        <v>380</v>
      </c>
      <c r="FO92" s="550">
        <v>4268853</v>
      </c>
      <c r="FP92" s="550">
        <v>4268853</v>
      </c>
      <c r="FQ92" s="550">
        <v>4268853</v>
      </c>
      <c r="FR92" s="550">
        <f t="shared" si="123"/>
        <v>4268.8530000000001</v>
      </c>
      <c r="FS92" s="550">
        <f t="shared" si="124"/>
        <v>4268.8530000000001</v>
      </c>
      <c r="FT92" s="550">
        <f t="shared" si="125"/>
        <v>4268.8530000000001</v>
      </c>
    </row>
    <row r="93" spans="1:176" ht="15" customHeight="1" x14ac:dyDescent="0.25">
      <c r="A93" s="890" t="s">
        <v>889</v>
      </c>
      <c r="B93" s="544" t="s">
        <v>564</v>
      </c>
      <c r="C93" s="545">
        <v>0</v>
      </c>
      <c r="D93" s="545">
        <v>11260945</v>
      </c>
      <c r="E93" s="545">
        <v>0</v>
      </c>
      <c r="F93" s="545">
        <v>11260945</v>
      </c>
      <c r="G93" s="545">
        <v>0</v>
      </c>
      <c r="H93" s="546">
        <f t="shared" si="72"/>
        <v>11733.904689999999</v>
      </c>
      <c r="I93" s="546">
        <f t="shared" si="73"/>
        <v>0</v>
      </c>
      <c r="J93" s="546">
        <f t="shared" si="74"/>
        <v>11733.904689999999</v>
      </c>
      <c r="K93" s="546">
        <f t="shared" si="75"/>
        <v>0</v>
      </c>
      <c r="O93" s="544"/>
      <c r="P93" s="545"/>
      <c r="Q93" s="546"/>
      <c r="S93" s="544" t="s">
        <v>562</v>
      </c>
      <c r="T93" s="545">
        <v>3000000</v>
      </c>
      <c r="U93" s="545">
        <v>0</v>
      </c>
      <c r="V93" s="545">
        <v>0</v>
      </c>
      <c r="W93" s="545">
        <v>3000000</v>
      </c>
      <c r="X93" s="546">
        <f t="shared" si="77"/>
        <v>3126</v>
      </c>
      <c r="Y93" s="546">
        <f t="shared" si="78"/>
        <v>0</v>
      </c>
      <c r="Z93" s="546">
        <f t="shared" si="79"/>
        <v>0</v>
      </c>
      <c r="AA93" s="546">
        <f t="shared" si="80"/>
        <v>3126</v>
      </c>
      <c r="AC93" s="544" t="s">
        <v>396</v>
      </c>
      <c r="AD93" s="545">
        <v>901651</v>
      </c>
      <c r="AE93" s="546">
        <f t="shared" si="81"/>
        <v>901.65099999999995</v>
      </c>
      <c r="AG93" s="544" t="s">
        <v>561</v>
      </c>
      <c r="AH93" s="545">
        <v>20599900</v>
      </c>
      <c r="AI93" s="545">
        <v>2256217</v>
      </c>
      <c r="AJ93" s="545">
        <v>2491838</v>
      </c>
      <c r="AK93" s="545">
        <v>18108062</v>
      </c>
      <c r="AL93" s="545">
        <f t="shared" si="82"/>
        <v>20599.900000000001</v>
      </c>
      <c r="AM93" s="545">
        <f t="shared" si="83"/>
        <v>2256.2170000000001</v>
      </c>
      <c r="AN93" s="545">
        <f t="shared" si="84"/>
        <v>2491.8380000000002</v>
      </c>
      <c r="AO93" s="545">
        <f t="shared" si="85"/>
        <v>18108.062000000002</v>
      </c>
      <c r="AR93" s="544" t="s">
        <v>767</v>
      </c>
      <c r="AS93" s="545">
        <v>5815425</v>
      </c>
      <c r="AT93" s="545">
        <f t="shared" si="86"/>
        <v>5815.4250000000002</v>
      </c>
      <c r="AV93" s="544" t="s">
        <v>561</v>
      </c>
      <c r="AW93" s="545">
        <v>20266718</v>
      </c>
      <c r="AX93" s="545">
        <v>3173406</v>
      </c>
      <c r="AY93" s="545">
        <v>4148695</v>
      </c>
      <c r="AZ93" s="545">
        <v>16118023</v>
      </c>
      <c r="BA93" s="546">
        <f t="shared" si="87"/>
        <v>20266.718000000001</v>
      </c>
      <c r="BB93" s="546">
        <f t="shared" si="88"/>
        <v>3173.4059999999999</v>
      </c>
      <c r="BC93" s="546">
        <f t="shared" si="89"/>
        <v>4148.6949999999997</v>
      </c>
      <c r="BD93" s="546">
        <f t="shared" si="90"/>
        <v>16118.022999999999</v>
      </c>
      <c r="BK93" s="544" t="s">
        <v>560</v>
      </c>
      <c r="BL93" s="545">
        <v>23447968</v>
      </c>
      <c r="BM93" s="545">
        <v>2043930</v>
      </c>
      <c r="BN93" s="545">
        <v>3614730</v>
      </c>
      <c r="BO93" s="545">
        <v>19833238</v>
      </c>
      <c r="BP93" s="545">
        <f t="shared" si="92"/>
        <v>23447.968000000001</v>
      </c>
      <c r="BQ93" s="545">
        <f t="shared" si="93"/>
        <v>2043.93</v>
      </c>
      <c r="BR93" s="545">
        <f t="shared" si="94"/>
        <v>3614.73</v>
      </c>
      <c r="BS93" s="545">
        <f t="shared" si="95"/>
        <v>19833.238000000001</v>
      </c>
      <c r="BV93" s="544" t="s">
        <v>398</v>
      </c>
      <c r="BW93" s="545">
        <v>265788283</v>
      </c>
      <c r="BX93" s="546">
        <f t="shared" si="96"/>
        <v>265788.283</v>
      </c>
      <c r="BZ93" s="544" t="s">
        <v>560</v>
      </c>
      <c r="CA93" s="545">
        <v>23758844</v>
      </c>
      <c r="CB93" s="545">
        <v>2043930</v>
      </c>
      <c r="CC93" s="545">
        <v>4259244</v>
      </c>
      <c r="CD93" s="545">
        <v>19499600</v>
      </c>
      <c r="CE93" s="545">
        <f t="shared" si="97"/>
        <v>23758.844000000001</v>
      </c>
      <c r="CF93" s="545">
        <f t="shared" si="98"/>
        <v>2043.93</v>
      </c>
      <c r="CG93" s="545">
        <f t="shared" si="99"/>
        <v>4259.2439999999997</v>
      </c>
      <c r="CH93" s="545">
        <f t="shared" si="100"/>
        <v>19499.599999999999</v>
      </c>
      <c r="CK93" s="547" t="s">
        <v>392</v>
      </c>
      <c r="CL93" s="546">
        <v>50383020</v>
      </c>
      <c r="CM93" s="546">
        <f t="shared" si="101"/>
        <v>50383.02</v>
      </c>
      <c r="CP93" s="547" t="s">
        <v>560</v>
      </c>
      <c r="CQ93" s="546">
        <v>25534324</v>
      </c>
      <c r="CR93" s="546">
        <v>4170730</v>
      </c>
      <c r="CS93" s="546">
        <v>6034724</v>
      </c>
      <c r="CT93" s="546">
        <v>19499600</v>
      </c>
      <c r="CU93" s="546">
        <f t="shared" si="68"/>
        <v>25534.324000000001</v>
      </c>
      <c r="CV93" s="546">
        <f t="shared" si="69"/>
        <v>4170.7299999999996</v>
      </c>
      <c r="CW93" s="546">
        <f t="shared" si="70"/>
        <v>6034.7240000000002</v>
      </c>
      <c r="CX93" s="546">
        <f t="shared" si="71"/>
        <v>19499.599999999999</v>
      </c>
      <c r="CZ93" s="547" t="s">
        <v>393</v>
      </c>
      <c r="DA93" s="546">
        <v>1400000</v>
      </c>
      <c r="DB93" s="546">
        <f t="shared" si="102"/>
        <v>1400</v>
      </c>
      <c r="DE93" s="544" t="s">
        <v>560</v>
      </c>
      <c r="DF93" s="545">
        <v>145733530</v>
      </c>
      <c r="DG93" s="545">
        <v>5574930</v>
      </c>
      <c r="DH93" s="545">
        <v>14306842</v>
      </c>
      <c r="DI93" s="545">
        <v>131426688</v>
      </c>
      <c r="DJ93" s="546">
        <f t="shared" si="103"/>
        <v>145733.53</v>
      </c>
      <c r="DK93" s="546">
        <f t="shared" si="104"/>
        <v>5574.93</v>
      </c>
      <c r="DL93" s="546">
        <f t="shared" si="105"/>
        <v>14306.842000000001</v>
      </c>
      <c r="DM93" s="546">
        <f t="shared" si="106"/>
        <v>131426.68799999999</v>
      </c>
      <c r="DP93" s="544" t="s">
        <v>398</v>
      </c>
      <c r="DQ93" s="545">
        <v>6232065</v>
      </c>
      <c r="DR93" s="546">
        <f t="shared" si="107"/>
        <v>6232.0649999999996</v>
      </c>
      <c r="DT93" s="544" t="s">
        <v>560</v>
      </c>
      <c r="DU93" s="545">
        <v>146824760</v>
      </c>
      <c r="DV93" s="545">
        <v>5946210</v>
      </c>
      <c r="DW93" s="545">
        <v>23897407</v>
      </c>
      <c r="DX93" s="545">
        <v>122927353</v>
      </c>
      <c r="DY93" s="546">
        <f t="shared" si="108"/>
        <v>146824.76</v>
      </c>
      <c r="DZ93" s="546">
        <f t="shared" si="109"/>
        <v>5946.21</v>
      </c>
      <c r="EA93" s="546">
        <f t="shared" si="110"/>
        <v>23897.406999999999</v>
      </c>
      <c r="EB93" s="546">
        <f t="shared" si="111"/>
        <v>122927.353</v>
      </c>
      <c r="EE93" s="547" t="s">
        <v>399</v>
      </c>
      <c r="EF93" s="546">
        <v>8223634</v>
      </c>
      <c r="EG93" s="548">
        <f t="shared" si="112"/>
        <v>8223.634</v>
      </c>
      <c r="EI93" s="547" t="s">
        <v>559</v>
      </c>
      <c r="EJ93" s="546">
        <v>41795239</v>
      </c>
      <c r="EK93" s="546">
        <v>38021918</v>
      </c>
      <c r="EL93" s="546">
        <v>34080780</v>
      </c>
      <c r="EM93" s="548">
        <f t="shared" si="113"/>
        <v>41795.239000000001</v>
      </c>
      <c r="EN93" s="548">
        <f t="shared" si="114"/>
        <v>38021.917999999998</v>
      </c>
      <c r="EO93" s="548">
        <f t="shared" si="115"/>
        <v>34080.78</v>
      </c>
      <c r="ER93" s="544" t="s">
        <v>597</v>
      </c>
      <c r="ES93" s="545">
        <v>70336353</v>
      </c>
      <c r="ET93" s="546">
        <f t="shared" si="116"/>
        <v>70336.353000000003</v>
      </c>
      <c r="EW93" s="544" t="s">
        <v>381</v>
      </c>
      <c r="EX93" s="545">
        <v>0</v>
      </c>
      <c r="EY93" s="545">
        <v>77332273</v>
      </c>
      <c r="EZ93" s="545">
        <v>58246326</v>
      </c>
      <c r="FA93" s="545">
        <v>60505558</v>
      </c>
      <c r="FB93" s="545">
        <v>16826715</v>
      </c>
      <c r="FC93" s="546">
        <f t="shared" si="126"/>
        <v>0</v>
      </c>
      <c r="FD93" s="546">
        <f t="shared" si="127"/>
        <v>77332.273000000001</v>
      </c>
      <c r="FE93" s="546">
        <f t="shared" si="128"/>
        <v>58246.326000000001</v>
      </c>
      <c r="FF93" s="546">
        <f t="shared" si="129"/>
        <v>60505.557999999997</v>
      </c>
      <c r="FG93" s="546">
        <f t="shared" si="130"/>
        <v>16826.715</v>
      </c>
      <c r="FJ93" s="547" t="s">
        <v>388</v>
      </c>
      <c r="FK93" s="546">
        <v>28464201</v>
      </c>
      <c r="FL93" s="548">
        <f t="shared" si="122"/>
        <v>28464.201000000001</v>
      </c>
      <c r="FN93" s="549" t="s">
        <v>559</v>
      </c>
      <c r="FO93" s="550">
        <v>44169934</v>
      </c>
      <c r="FP93" s="550">
        <v>40436601</v>
      </c>
      <c r="FQ93" s="550">
        <v>40436601</v>
      </c>
      <c r="FR93" s="550">
        <f t="shared" si="123"/>
        <v>44169.934000000001</v>
      </c>
      <c r="FS93" s="550">
        <f t="shared" si="124"/>
        <v>40436.601000000002</v>
      </c>
      <c r="FT93" s="550">
        <f t="shared" si="125"/>
        <v>40436.601000000002</v>
      </c>
    </row>
    <row r="94" spans="1:176" ht="15" customHeight="1" x14ac:dyDescent="0.25">
      <c r="A94" s="890" t="s">
        <v>888</v>
      </c>
      <c r="B94" s="544" t="s">
        <v>383</v>
      </c>
      <c r="C94" s="545">
        <v>0</v>
      </c>
      <c r="D94" s="545">
        <v>10237405</v>
      </c>
      <c r="E94" s="545">
        <v>1193790</v>
      </c>
      <c r="F94" s="545">
        <v>9043615</v>
      </c>
      <c r="G94" s="545">
        <v>1193790</v>
      </c>
      <c r="H94" s="546">
        <f t="shared" si="72"/>
        <v>10667.376010000002</v>
      </c>
      <c r="I94" s="546">
        <f t="shared" si="73"/>
        <v>1243.9291800000001</v>
      </c>
      <c r="J94" s="546">
        <f t="shared" si="74"/>
        <v>9423.4468300000008</v>
      </c>
      <c r="K94" s="546">
        <f t="shared" si="75"/>
        <v>1243.9291800000001</v>
      </c>
      <c r="O94" s="544"/>
      <c r="P94" s="545"/>
      <c r="Q94" s="546"/>
      <c r="S94" s="544" t="s">
        <v>564</v>
      </c>
      <c r="T94" s="545">
        <v>11260945</v>
      </c>
      <c r="U94" s="545">
        <v>0</v>
      </c>
      <c r="V94" s="545">
        <v>0</v>
      </c>
      <c r="W94" s="545">
        <v>11260945</v>
      </c>
      <c r="X94" s="546">
        <f t="shared" si="77"/>
        <v>11733.904689999999</v>
      </c>
      <c r="Y94" s="546">
        <f t="shared" si="78"/>
        <v>0</v>
      </c>
      <c r="Z94" s="546">
        <f t="shared" si="79"/>
        <v>0</v>
      </c>
      <c r="AA94" s="546">
        <f t="shared" si="80"/>
        <v>11733.904689999999</v>
      </c>
      <c r="AC94" s="544" t="s">
        <v>398</v>
      </c>
      <c r="AD94" s="545">
        <v>7758402</v>
      </c>
      <c r="AE94" s="546">
        <f t="shared" si="81"/>
        <v>7758.402</v>
      </c>
      <c r="AG94" s="544" t="s">
        <v>562</v>
      </c>
      <c r="AH94" s="545">
        <v>3000000</v>
      </c>
      <c r="AI94" s="545">
        <v>0</v>
      </c>
      <c r="AJ94" s="545">
        <v>0</v>
      </c>
      <c r="AK94" s="545">
        <v>3000000</v>
      </c>
      <c r="AL94" s="545">
        <f t="shared" si="82"/>
        <v>3000</v>
      </c>
      <c r="AM94" s="545">
        <f t="shared" si="83"/>
        <v>0</v>
      </c>
      <c r="AN94" s="545">
        <f t="shared" si="84"/>
        <v>0</v>
      </c>
      <c r="AO94" s="545">
        <f t="shared" si="85"/>
        <v>3000</v>
      </c>
      <c r="AV94" s="544" t="s">
        <v>562</v>
      </c>
      <c r="AW94" s="545">
        <v>0</v>
      </c>
      <c r="AX94" s="545">
        <v>0</v>
      </c>
      <c r="AY94" s="545">
        <v>0</v>
      </c>
      <c r="AZ94" s="545">
        <v>0</v>
      </c>
      <c r="BA94" s="546">
        <f t="shared" si="87"/>
        <v>0</v>
      </c>
      <c r="BB94" s="546">
        <f t="shared" si="88"/>
        <v>0</v>
      </c>
      <c r="BC94" s="546">
        <f t="shared" si="89"/>
        <v>0</v>
      </c>
      <c r="BD94" s="546">
        <f t="shared" si="90"/>
        <v>0</v>
      </c>
      <c r="BK94" s="544" t="s">
        <v>561</v>
      </c>
      <c r="BL94" s="545">
        <v>19814832</v>
      </c>
      <c r="BM94" s="545">
        <v>3913074</v>
      </c>
      <c r="BN94" s="545">
        <v>4826636</v>
      </c>
      <c r="BO94" s="545">
        <v>14988196</v>
      </c>
      <c r="BP94" s="545">
        <f t="shared" si="92"/>
        <v>19814.831999999999</v>
      </c>
      <c r="BQ94" s="545">
        <f t="shared" si="93"/>
        <v>3913.0740000000001</v>
      </c>
      <c r="BR94" s="545">
        <f t="shared" si="94"/>
        <v>4826.6360000000004</v>
      </c>
      <c r="BS94" s="545">
        <f t="shared" si="95"/>
        <v>14988.196</v>
      </c>
      <c r="BV94" s="544" t="s">
        <v>399</v>
      </c>
      <c r="BW94" s="545">
        <v>5788283</v>
      </c>
      <c r="BX94" s="546">
        <f t="shared" si="96"/>
        <v>5788.2830000000004</v>
      </c>
      <c r="BZ94" s="544" t="s">
        <v>561</v>
      </c>
      <c r="CA94" s="545">
        <v>19167290</v>
      </c>
      <c r="CB94" s="545">
        <v>4710015</v>
      </c>
      <c r="CC94" s="545">
        <v>6303059</v>
      </c>
      <c r="CD94" s="545">
        <v>12864231</v>
      </c>
      <c r="CE94" s="545">
        <f t="shared" si="97"/>
        <v>19167.29</v>
      </c>
      <c r="CF94" s="545">
        <f t="shared" si="98"/>
        <v>4710.0150000000003</v>
      </c>
      <c r="CG94" s="545">
        <f t="shared" si="99"/>
        <v>6303.0590000000002</v>
      </c>
      <c r="CH94" s="545">
        <f t="shared" si="100"/>
        <v>12864.231</v>
      </c>
      <c r="CK94" s="547" t="s">
        <v>394</v>
      </c>
      <c r="CL94" s="546">
        <v>98207162</v>
      </c>
      <c r="CM94" s="546">
        <f t="shared" si="101"/>
        <v>98207.161999999997</v>
      </c>
      <c r="CP94" s="547" t="s">
        <v>561</v>
      </c>
      <c r="CQ94" s="546">
        <v>18986345</v>
      </c>
      <c r="CR94" s="546">
        <v>6091677</v>
      </c>
      <c r="CS94" s="546">
        <v>7577014</v>
      </c>
      <c r="CT94" s="546">
        <v>11409331</v>
      </c>
      <c r="CU94" s="546">
        <f t="shared" si="68"/>
        <v>18986.345000000001</v>
      </c>
      <c r="CV94" s="546">
        <f t="shared" si="69"/>
        <v>6091.6769999999997</v>
      </c>
      <c r="CW94" s="546">
        <f t="shared" si="70"/>
        <v>7577.0140000000001</v>
      </c>
      <c r="CX94" s="546">
        <f t="shared" si="71"/>
        <v>11409.331</v>
      </c>
      <c r="CZ94" s="547" t="s">
        <v>394</v>
      </c>
      <c r="DA94" s="546">
        <v>49637074</v>
      </c>
      <c r="DB94" s="546">
        <f t="shared" si="102"/>
        <v>49637.074000000001</v>
      </c>
      <c r="DE94" s="544" t="s">
        <v>561</v>
      </c>
      <c r="DF94" s="545">
        <v>18239117</v>
      </c>
      <c r="DG94" s="545">
        <v>8029213</v>
      </c>
      <c r="DH94" s="545">
        <v>8925135</v>
      </c>
      <c r="DI94" s="545">
        <v>9313982</v>
      </c>
      <c r="DJ94" s="546">
        <f t="shared" si="103"/>
        <v>18239.116999999998</v>
      </c>
      <c r="DK94" s="546">
        <f t="shared" si="104"/>
        <v>8029.2129999999997</v>
      </c>
      <c r="DL94" s="546">
        <f t="shared" si="105"/>
        <v>8925.1350000000002</v>
      </c>
      <c r="DM94" s="546">
        <f t="shared" si="106"/>
        <v>9313.982</v>
      </c>
      <c r="DP94" s="544" t="s">
        <v>399</v>
      </c>
      <c r="DQ94" s="545">
        <v>6232065</v>
      </c>
      <c r="DR94" s="546">
        <f t="shared" si="107"/>
        <v>6232.0649999999996</v>
      </c>
      <c r="DT94" s="544" t="s">
        <v>561</v>
      </c>
      <c r="DU94" s="545">
        <v>18430047</v>
      </c>
      <c r="DV94" s="545">
        <v>8625628</v>
      </c>
      <c r="DW94" s="545">
        <v>9546725</v>
      </c>
      <c r="DX94" s="545">
        <v>8883322</v>
      </c>
      <c r="DY94" s="546">
        <f t="shared" si="108"/>
        <v>18430.046999999999</v>
      </c>
      <c r="DZ94" s="546">
        <f t="shared" si="109"/>
        <v>8625.6280000000006</v>
      </c>
      <c r="EA94" s="546">
        <f t="shared" si="110"/>
        <v>9546.7250000000004</v>
      </c>
      <c r="EB94" s="546">
        <f t="shared" si="111"/>
        <v>8883.3220000000001</v>
      </c>
      <c r="EE94" s="547" t="s">
        <v>502</v>
      </c>
      <c r="EF94" s="546">
        <v>8223634</v>
      </c>
      <c r="EG94" s="548">
        <f t="shared" si="112"/>
        <v>8223.634</v>
      </c>
      <c r="EI94" s="547" t="s">
        <v>381</v>
      </c>
      <c r="EJ94" s="546">
        <v>83242741</v>
      </c>
      <c r="EK94" s="546">
        <v>42226363</v>
      </c>
      <c r="EL94" s="546">
        <v>38333383</v>
      </c>
      <c r="EM94" s="548">
        <f t="shared" si="113"/>
        <v>83242.740999999995</v>
      </c>
      <c r="EN94" s="548">
        <f t="shared" si="114"/>
        <v>42226.362999999998</v>
      </c>
      <c r="EO94" s="548">
        <f t="shared" si="115"/>
        <v>38333.383000000002</v>
      </c>
      <c r="ER94" s="544" t="s">
        <v>598</v>
      </c>
      <c r="ES94" s="545">
        <v>70336353</v>
      </c>
      <c r="ET94" s="546">
        <f t="shared" si="116"/>
        <v>70336.353000000003</v>
      </c>
      <c r="EW94" s="544" t="s">
        <v>560</v>
      </c>
      <c r="EX94" s="545">
        <v>0</v>
      </c>
      <c r="EY94" s="545">
        <v>44360272</v>
      </c>
      <c r="EZ94" s="545">
        <v>27057557</v>
      </c>
      <c r="FA94" s="545">
        <v>27533557</v>
      </c>
      <c r="FB94" s="545">
        <v>16826715</v>
      </c>
      <c r="FC94" s="546">
        <f t="shared" si="126"/>
        <v>0</v>
      </c>
      <c r="FD94" s="546">
        <f t="shared" si="127"/>
        <v>44360.271999999997</v>
      </c>
      <c r="FE94" s="546">
        <f t="shared" si="128"/>
        <v>27057.557000000001</v>
      </c>
      <c r="FF94" s="546">
        <f t="shared" si="129"/>
        <v>27533.557000000001</v>
      </c>
      <c r="FG94" s="546">
        <f t="shared" si="130"/>
        <v>16826.715</v>
      </c>
      <c r="FJ94" s="547" t="s">
        <v>389</v>
      </c>
      <c r="FK94" s="546">
        <v>73359603</v>
      </c>
      <c r="FL94" s="548">
        <f t="shared" si="122"/>
        <v>73359.603000000003</v>
      </c>
      <c r="FN94" s="549" t="s">
        <v>381</v>
      </c>
      <c r="FO94" s="550">
        <v>77970163</v>
      </c>
      <c r="FP94" s="550">
        <v>62462522</v>
      </c>
      <c r="FQ94" s="550">
        <v>62970163</v>
      </c>
      <c r="FR94" s="550">
        <f t="shared" si="123"/>
        <v>77970.163</v>
      </c>
      <c r="FS94" s="550">
        <f t="shared" si="124"/>
        <v>62462.521999999997</v>
      </c>
      <c r="FT94" s="550">
        <f t="shared" si="125"/>
        <v>62970.163</v>
      </c>
    </row>
    <row r="95" spans="1:176" ht="15" customHeight="1" x14ac:dyDescent="0.25">
      <c r="A95" s="890" t="s">
        <v>889</v>
      </c>
      <c r="B95" s="544" t="s">
        <v>384</v>
      </c>
      <c r="C95" s="545">
        <v>0</v>
      </c>
      <c r="D95" s="545">
        <v>10000000</v>
      </c>
      <c r="E95" s="545">
        <v>956385</v>
      </c>
      <c r="F95" s="545">
        <v>9043615</v>
      </c>
      <c r="G95" s="545">
        <v>956385</v>
      </c>
      <c r="H95" s="546">
        <f t="shared" si="72"/>
        <v>10420</v>
      </c>
      <c r="I95" s="546">
        <f t="shared" si="73"/>
        <v>996.55317000000002</v>
      </c>
      <c r="J95" s="546">
        <f t="shared" si="74"/>
        <v>9423.4468300000008</v>
      </c>
      <c r="K95" s="546">
        <f t="shared" si="75"/>
        <v>996.55317000000002</v>
      </c>
      <c r="O95" s="544"/>
      <c r="P95" s="545"/>
      <c r="Q95" s="546"/>
      <c r="S95" s="544" t="s">
        <v>383</v>
      </c>
      <c r="T95" s="545">
        <v>10237405</v>
      </c>
      <c r="U95" s="545">
        <v>1193790</v>
      </c>
      <c r="V95" s="545">
        <v>1491671</v>
      </c>
      <c r="W95" s="545">
        <v>8745734</v>
      </c>
      <c r="X95" s="546">
        <f t="shared" si="77"/>
        <v>10667.376010000002</v>
      </c>
      <c r="Y95" s="546">
        <f t="shared" si="78"/>
        <v>1243.9291800000001</v>
      </c>
      <c r="Z95" s="546">
        <f t="shared" si="79"/>
        <v>1554.3211820000001</v>
      </c>
      <c r="AA95" s="546">
        <f t="shared" si="80"/>
        <v>9113.0548280000003</v>
      </c>
      <c r="AC95" s="544" t="s">
        <v>399</v>
      </c>
      <c r="AD95" s="545">
        <v>7758402</v>
      </c>
      <c r="AE95" s="546">
        <f t="shared" si="81"/>
        <v>7758.402</v>
      </c>
      <c r="AG95" s="544" t="s">
        <v>564</v>
      </c>
      <c r="AH95" s="545">
        <v>11260945</v>
      </c>
      <c r="AI95" s="545">
        <v>543491</v>
      </c>
      <c r="AJ95" s="545">
        <v>3260945</v>
      </c>
      <c r="AK95" s="545">
        <v>8000000</v>
      </c>
      <c r="AL95" s="545">
        <f t="shared" si="82"/>
        <v>11260.945</v>
      </c>
      <c r="AM95" s="545">
        <f t="shared" si="83"/>
        <v>543.49099999999999</v>
      </c>
      <c r="AN95" s="545">
        <f t="shared" si="84"/>
        <v>3260.9450000000002</v>
      </c>
      <c r="AO95" s="545">
        <f t="shared" si="85"/>
        <v>8000</v>
      </c>
      <c r="AV95" s="544" t="s">
        <v>563</v>
      </c>
      <c r="AW95" s="545">
        <v>100000</v>
      </c>
      <c r="AX95" s="545">
        <v>100000</v>
      </c>
      <c r="AY95" s="545">
        <v>100000</v>
      </c>
      <c r="AZ95" s="545">
        <v>0</v>
      </c>
      <c r="BA95" s="546">
        <f t="shared" si="87"/>
        <v>100</v>
      </c>
      <c r="BB95" s="546">
        <f t="shared" si="88"/>
        <v>100</v>
      </c>
      <c r="BC95" s="546">
        <f t="shared" si="89"/>
        <v>100</v>
      </c>
      <c r="BD95" s="546">
        <f t="shared" si="90"/>
        <v>0</v>
      </c>
      <c r="BK95" s="544" t="s">
        <v>562</v>
      </c>
      <c r="BL95" s="545">
        <v>0</v>
      </c>
      <c r="BM95" s="545">
        <v>0</v>
      </c>
      <c r="BN95" s="545">
        <v>0</v>
      </c>
      <c r="BO95" s="545">
        <v>0</v>
      </c>
      <c r="BP95" s="545">
        <f t="shared" si="92"/>
        <v>0</v>
      </c>
      <c r="BQ95" s="545">
        <f t="shared" si="93"/>
        <v>0</v>
      </c>
      <c r="BR95" s="545">
        <f t="shared" si="94"/>
        <v>0</v>
      </c>
      <c r="BS95" s="545">
        <f t="shared" si="95"/>
        <v>0</v>
      </c>
      <c r="BV95" s="544" t="s">
        <v>502</v>
      </c>
      <c r="BW95" s="545">
        <v>5788283</v>
      </c>
      <c r="BX95" s="546">
        <f t="shared" si="96"/>
        <v>5788.2830000000004</v>
      </c>
      <c r="BZ95" s="544" t="s">
        <v>562</v>
      </c>
      <c r="CA95" s="545">
        <v>0</v>
      </c>
      <c r="CB95" s="545">
        <v>0</v>
      </c>
      <c r="CC95" s="545">
        <v>0</v>
      </c>
      <c r="CD95" s="545">
        <v>0</v>
      </c>
      <c r="CE95" s="545">
        <f t="shared" si="97"/>
        <v>0</v>
      </c>
      <c r="CF95" s="545">
        <f t="shared" si="98"/>
        <v>0</v>
      </c>
      <c r="CG95" s="545">
        <f t="shared" si="99"/>
        <v>0</v>
      </c>
      <c r="CH95" s="545">
        <f t="shared" si="100"/>
        <v>0</v>
      </c>
      <c r="CK95" s="547" t="s">
        <v>395</v>
      </c>
      <c r="CL95" s="546">
        <v>10556999</v>
      </c>
      <c r="CM95" s="546">
        <f t="shared" si="101"/>
        <v>10556.999</v>
      </c>
      <c r="CP95" s="547" t="s">
        <v>563</v>
      </c>
      <c r="CQ95" s="546">
        <v>614575</v>
      </c>
      <c r="CR95" s="546">
        <v>100000</v>
      </c>
      <c r="CS95" s="546">
        <v>614575</v>
      </c>
      <c r="CT95" s="546">
        <v>0</v>
      </c>
      <c r="CU95" s="546">
        <f t="shared" si="68"/>
        <v>614.57500000000005</v>
      </c>
      <c r="CV95" s="546">
        <f t="shared" si="69"/>
        <v>100</v>
      </c>
      <c r="CW95" s="546">
        <f t="shared" si="70"/>
        <v>614.57500000000005</v>
      </c>
      <c r="CX95" s="546">
        <f t="shared" si="71"/>
        <v>0</v>
      </c>
      <c r="CZ95" s="547" t="s">
        <v>395</v>
      </c>
      <c r="DA95" s="546">
        <v>2197590</v>
      </c>
      <c r="DB95" s="546">
        <f t="shared" si="102"/>
        <v>2197.59</v>
      </c>
      <c r="DE95" s="544" t="s">
        <v>563</v>
      </c>
      <c r="DF95" s="545">
        <v>614575</v>
      </c>
      <c r="DG95" s="545">
        <v>614575</v>
      </c>
      <c r="DH95" s="545">
        <v>614575</v>
      </c>
      <c r="DI95" s="545">
        <v>0</v>
      </c>
      <c r="DJ95" s="546">
        <f t="shared" si="103"/>
        <v>614.57500000000005</v>
      </c>
      <c r="DK95" s="546">
        <f t="shared" si="104"/>
        <v>614.57500000000005</v>
      </c>
      <c r="DL95" s="546">
        <f t="shared" si="105"/>
        <v>614.57500000000005</v>
      </c>
      <c r="DM95" s="546">
        <f t="shared" si="106"/>
        <v>0</v>
      </c>
      <c r="DP95" s="544" t="s">
        <v>502</v>
      </c>
      <c r="DQ95" s="545">
        <v>6232065</v>
      </c>
      <c r="DR95" s="546">
        <f t="shared" si="107"/>
        <v>6232.0649999999996</v>
      </c>
      <c r="DT95" s="544" t="s">
        <v>563</v>
      </c>
      <c r="DU95" s="545">
        <v>614575</v>
      </c>
      <c r="DV95" s="545">
        <v>614575</v>
      </c>
      <c r="DW95" s="545">
        <v>614575</v>
      </c>
      <c r="DX95" s="545">
        <v>0</v>
      </c>
      <c r="DY95" s="546">
        <f t="shared" si="108"/>
        <v>614.57500000000005</v>
      </c>
      <c r="DZ95" s="546">
        <f t="shared" si="109"/>
        <v>614.57500000000005</v>
      </c>
      <c r="EA95" s="546">
        <f t="shared" si="110"/>
        <v>614.57500000000005</v>
      </c>
      <c r="EB95" s="546">
        <f t="shared" si="111"/>
        <v>0</v>
      </c>
      <c r="EE95" s="547" t="s">
        <v>597</v>
      </c>
      <c r="EF95" s="546">
        <v>41494176</v>
      </c>
      <c r="EG95" s="548">
        <f t="shared" si="112"/>
        <v>41494.175999999999</v>
      </c>
      <c r="EI95" s="547" t="s">
        <v>560</v>
      </c>
      <c r="EJ95" s="546">
        <v>43868944</v>
      </c>
      <c r="EK95" s="546">
        <v>25987285</v>
      </c>
      <c r="EL95" s="546">
        <v>23609687</v>
      </c>
      <c r="EM95" s="548">
        <f t="shared" si="113"/>
        <v>43868.944000000003</v>
      </c>
      <c r="EN95" s="548">
        <f t="shared" si="114"/>
        <v>25987.285</v>
      </c>
      <c r="EO95" s="548">
        <f t="shared" si="115"/>
        <v>23609.687000000002</v>
      </c>
      <c r="ER95" s="544" t="s">
        <v>852</v>
      </c>
      <c r="ES95" s="545">
        <v>36358955</v>
      </c>
      <c r="ET95" s="546">
        <f t="shared" si="116"/>
        <v>36358.955000000002</v>
      </c>
      <c r="EW95" s="544" t="s">
        <v>561</v>
      </c>
      <c r="EX95" s="545">
        <v>0</v>
      </c>
      <c r="EY95" s="545">
        <v>11366509</v>
      </c>
      <c r="EZ95" s="545">
        <v>10775079</v>
      </c>
      <c r="FA95" s="545">
        <v>11366509</v>
      </c>
      <c r="FB95" s="545">
        <v>0</v>
      </c>
      <c r="FC95" s="546">
        <f t="shared" si="126"/>
        <v>0</v>
      </c>
      <c r="FD95" s="546">
        <f t="shared" si="127"/>
        <v>11366.509</v>
      </c>
      <c r="FE95" s="546">
        <f t="shared" si="128"/>
        <v>10775.079</v>
      </c>
      <c r="FF95" s="546">
        <f t="shared" si="129"/>
        <v>11366.509</v>
      </c>
      <c r="FG95" s="546">
        <f t="shared" si="130"/>
        <v>0</v>
      </c>
      <c r="FJ95" s="547" t="s">
        <v>390</v>
      </c>
      <c r="FK95" s="546">
        <v>46270149</v>
      </c>
      <c r="FL95" s="548">
        <f t="shared" si="122"/>
        <v>46270.148999999998</v>
      </c>
      <c r="FN95" s="549" t="s">
        <v>560</v>
      </c>
      <c r="FO95" s="550">
        <v>44395272</v>
      </c>
      <c r="FP95" s="550">
        <v>29395272</v>
      </c>
      <c r="FQ95" s="550">
        <v>29395272</v>
      </c>
      <c r="FR95" s="550">
        <f t="shared" si="123"/>
        <v>44395.271999999997</v>
      </c>
      <c r="FS95" s="550">
        <f t="shared" si="124"/>
        <v>29395.272000000001</v>
      </c>
      <c r="FT95" s="550">
        <f t="shared" si="125"/>
        <v>29395.272000000001</v>
      </c>
    </row>
    <row r="96" spans="1:176" ht="15" customHeight="1" x14ac:dyDescent="0.25">
      <c r="A96" s="890" t="s">
        <v>889</v>
      </c>
      <c r="B96" s="544" t="s">
        <v>385</v>
      </c>
      <c r="C96" s="545">
        <v>0</v>
      </c>
      <c r="D96" s="545">
        <v>237405</v>
      </c>
      <c r="E96" s="545">
        <v>237405</v>
      </c>
      <c r="F96" s="545">
        <v>0</v>
      </c>
      <c r="G96" s="545">
        <v>237405</v>
      </c>
      <c r="H96" s="546">
        <f t="shared" si="72"/>
        <v>247.37601000000001</v>
      </c>
      <c r="I96" s="546">
        <f t="shared" si="73"/>
        <v>247.37601000000001</v>
      </c>
      <c r="J96" s="546">
        <f t="shared" si="74"/>
        <v>0</v>
      </c>
      <c r="K96" s="546">
        <f t="shared" si="75"/>
        <v>247.37601000000001</v>
      </c>
      <c r="O96" s="544"/>
      <c r="P96" s="545"/>
      <c r="Q96" s="546"/>
      <c r="S96" s="544" t="s">
        <v>384</v>
      </c>
      <c r="T96" s="545">
        <v>9702119</v>
      </c>
      <c r="U96" s="545">
        <v>956385</v>
      </c>
      <c r="V96" s="545">
        <v>956385</v>
      </c>
      <c r="W96" s="545">
        <v>8745734</v>
      </c>
      <c r="X96" s="546">
        <f t="shared" si="77"/>
        <v>10109.607998000001</v>
      </c>
      <c r="Y96" s="546">
        <f t="shared" si="78"/>
        <v>996.55317000000002</v>
      </c>
      <c r="Z96" s="546">
        <f t="shared" si="79"/>
        <v>996.55317000000002</v>
      </c>
      <c r="AA96" s="546">
        <f t="shared" si="80"/>
        <v>9113.0548280000003</v>
      </c>
      <c r="AC96" s="544" t="s">
        <v>502</v>
      </c>
      <c r="AD96" s="545">
        <v>7758402</v>
      </c>
      <c r="AE96" s="546">
        <f t="shared" si="81"/>
        <v>7758.402</v>
      </c>
      <c r="AG96" s="544" t="s">
        <v>383</v>
      </c>
      <c r="AH96" s="545">
        <v>10108755</v>
      </c>
      <c r="AI96" s="545">
        <v>3623388</v>
      </c>
      <c r="AJ96" s="545">
        <v>4452213</v>
      </c>
      <c r="AK96" s="545">
        <v>5656542</v>
      </c>
      <c r="AL96" s="545">
        <f t="shared" si="82"/>
        <v>10108.754999999999</v>
      </c>
      <c r="AM96" s="545">
        <f t="shared" si="83"/>
        <v>3623.3879999999999</v>
      </c>
      <c r="AN96" s="545">
        <f t="shared" si="84"/>
        <v>4452.2129999999997</v>
      </c>
      <c r="AO96" s="545">
        <f t="shared" si="85"/>
        <v>5656.5420000000004</v>
      </c>
      <c r="AV96" s="544" t="s">
        <v>564</v>
      </c>
      <c r="AW96" s="545">
        <v>11260945</v>
      </c>
      <c r="AX96" s="545">
        <v>1086982</v>
      </c>
      <c r="AY96" s="545">
        <v>3260945</v>
      </c>
      <c r="AZ96" s="545">
        <v>8000000</v>
      </c>
      <c r="BA96" s="546">
        <f t="shared" si="87"/>
        <v>11260.945</v>
      </c>
      <c r="BB96" s="546">
        <f t="shared" si="88"/>
        <v>1086.982</v>
      </c>
      <c r="BC96" s="546">
        <f t="shared" si="89"/>
        <v>3260.9450000000002</v>
      </c>
      <c r="BD96" s="546">
        <f t="shared" si="90"/>
        <v>8000</v>
      </c>
      <c r="BK96" s="544" t="s">
        <v>563</v>
      </c>
      <c r="BL96" s="545">
        <v>100000</v>
      </c>
      <c r="BM96" s="545">
        <v>100000</v>
      </c>
      <c r="BN96" s="545">
        <v>100000</v>
      </c>
      <c r="BO96" s="545">
        <v>0</v>
      </c>
      <c r="BP96" s="545">
        <f t="shared" si="92"/>
        <v>100</v>
      </c>
      <c r="BQ96" s="545">
        <f t="shared" si="93"/>
        <v>100</v>
      </c>
      <c r="BR96" s="545">
        <f t="shared" si="94"/>
        <v>100</v>
      </c>
      <c r="BS96" s="545">
        <f t="shared" si="95"/>
        <v>0</v>
      </c>
      <c r="BV96" s="544" t="s">
        <v>473</v>
      </c>
      <c r="BW96" s="545">
        <v>260000000</v>
      </c>
      <c r="BX96" s="546">
        <f t="shared" si="96"/>
        <v>260000</v>
      </c>
      <c r="BZ96" s="544" t="s">
        <v>563</v>
      </c>
      <c r="CA96" s="545">
        <v>100000</v>
      </c>
      <c r="CB96" s="545">
        <v>100000</v>
      </c>
      <c r="CC96" s="545">
        <v>100000</v>
      </c>
      <c r="CD96" s="545">
        <v>0</v>
      </c>
      <c r="CE96" s="545">
        <f t="shared" si="97"/>
        <v>100</v>
      </c>
      <c r="CF96" s="545">
        <f t="shared" si="98"/>
        <v>100</v>
      </c>
      <c r="CG96" s="545">
        <f t="shared" si="99"/>
        <v>100</v>
      </c>
      <c r="CH96" s="545">
        <f t="shared" si="100"/>
        <v>0</v>
      </c>
      <c r="CK96" s="547" t="s">
        <v>572</v>
      </c>
      <c r="CL96" s="546">
        <v>1073305</v>
      </c>
      <c r="CM96" s="546">
        <f t="shared" si="101"/>
        <v>1073.3050000000001</v>
      </c>
      <c r="CP96" s="547" t="s">
        <v>564</v>
      </c>
      <c r="CQ96" s="546">
        <v>13260945</v>
      </c>
      <c r="CR96" s="546">
        <v>1630473</v>
      </c>
      <c r="CS96" s="546">
        <v>3260945</v>
      </c>
      <c r="CT96" s="546">
        <v>10000000</v>
      </c>
      <c r="CU96" s="546">
        <f t="shared" si="68"/>
        <v>13260.945</v>
      </c>
      <c r="CV96" s="546">
        <f t="shared" si="69"/>
        <v>1630.473</v>
      </c>
      <c r="CW96" s="546">
        <f t="shared" si="70"/>
        <v>3260.9450000000002</v>
      </c>
      <c r="CX96" s="546">
        <f t="shared" si="71"/>
        <v>10000</v>
      </c>
      <c r="CZ96" s="547" t="s">
        <v>572</v>
      </c>
      <c r="DA96" s="546">
        <v>1294390</v>
      </c>
      <c r="DB96" s="546">
        <f t="shared" si="102"/>
        <v>1294.3900000000001</v>
      </c>
      <c r="DE96" s="544" t="s">
        <v>564</v>
      </c>
      <c r="DF96" s="545">
        <v>14660945</v>
      </c>
      <c r="DG96" s="545">
        <v>2173964</v>
      </c>
      <c r="DH96" s="545">
        <v>3260945</v>
      </c>
      <c r="DI96" s="545">
        <v>11400000</v>
      </c>
      <c r="DJ96" s="546">
        <f t="shared" si="103"/>
        <v>14660.945</v>
      </c>
      <c r="DK96" s="546">
        <f t="shared" si="104"/>
        <v>2173.9639999999999</v>
      </c>
      <c r="DL96" s="546">
        <f t="shared" si="105"/>
        <v>3260.9450000000002</v>
      </c>
      <c r="DM96" s="546">
        <f t="shared" si="106"/>
        <v>11400</v>
      </c>
      <c r="DP96" s="544" t="s">
        <v>597</v>
      </c>
      <c r="DQ96" s="545">
        <v>56745569</v>
      </c>
      <c r="DR96" s="546">
        <f t="shared" si="107"/>
        <v>56745.569000000003</v>
      </c>
      <c r="DT96" s="544" t="s">
        <v>564</v>
      </c>
      <c r="DU96" s="545">
        <v>14660945</v>
      </c>
      <c r="DV96" s="545">
        <v>2173964</v>
      </c>
      <c r="DW96" s="545">
        <v>4435140</v>
      </c>
      <c r="DX96" s="545">
        <v>10225805</v>
      </c>
      <c r="DY96" s="546">
        <f t="shared" si="108"/>
        <v>14660.945</v>
      </c>
      <c r="DZ96" s="546">
        <f t="shared" si="109"/>
        <v>2173.9639999999999</v>
      </c>
      <c r="EA96" s="546">
        <f t="shared" si="110"/>
        <v>4435.1400000000003</v>
      </c>
      <c r="EB96" s="546">
        <f t="shared" si="111"/>
        <v>10225.805</v>
      </c>
      <c r="EE96" s="547" t="s">
        <v>598</v>
      </c>
      <c r="EF96" s="546">
        <v>41494176</v>
      </c>
      <c r="EG96" s="548">
        <f t="shared" si="112"/>
        <v>41494.175999999999</v>
      </c>
      <c r="EI96" s="547" t="s">
        <v>561</v>
      </c>
      <c r="EJ96" s="546">
        <v>18721198</v>
      </c>
      <c r="EK96" s="546">
        <v>10475362</v>
      </c>
      <c r="EL96" s="546">
        <v>10475361</v>
      </c>
      <c r="EM96" s="548">
        <f t="shared" si="113"/>
        <v>18721.198</v>
      </c>
      <c r="EN96" s="548">
        <f t="shared" si="114"/>
        <v>10475.361999999999</v>
      </c>
      <c r="EO96" s="548">
        <f t="shared" si="115"/>
        <v>10475.361000000001</v>
      </c>
      <c r="ER96" s="544" t="s">
        <v>984</v>
      </c>
      <c r="ES96" s="545">
        <v>32805004</v>
      </c>
      <c r="ET96" s="546">
        <f t="shared" si="116"/>
        <v>32805.004000000001</v>
      </c>
      <c r="EW96" s="544" t="s">
        <v>563</v>
      </c>
      <c r="EX96" s="545">
        <v>0</v>
      </c>
      <c r="EY96" s="545">
        <v>6151771</v>
      </c>
      <c r="EZ96" s="545">
        <v>5503459</v>
      </c>
      <c r="FA96" s="545">
        <v>6151771</v>
      </c>
      <c r="FB96" s="545">
        <v>0</v>
      </c>
      <c r="FC96" s="546">
        <f t="shared" si="126"/>
        <v>0</v>
      </c>
      <c r="FD96" s="546">
        <f t="shared" si="127"/>
        <v>6151.7709999999997</v>
      </c>
      <c r="FE96" s="546">
        <f t="shared" si="128"/>
        <v>5503.4589999999998</v>
      </c>
      <c r="FF96" s="546">
        <f t="shared" si="129"/>
        <v>6151.7709999999997</v>
      </c>
      <c r="FG96" s="546">
        <f t="shared" si="130"/>
        <v>0</v>
      </c>
      <c r="FJ96" s="547" t="s">
        <v>568</v>
      </c>
      <c r="FK96" s="546">
        <v>4325798</v>
      </c>
      <c r="FL96" s="548">
        <f t="shared" si="122"/>
        <v>4325.7979999999998</v>
      </c>
      <c r="FN96" s="549" t="s">
        <v>561</v>
      </c>
      <c r="FO96" s="550">
        <v>11969398</v>
      </c>
      <c r="FP96" s="550">
        <v>11681669</v>
      </c>
      <c r="FQ96" s="550">
        <v>11969398</v>
      </c>
      <c r="FR96" s="550">
        <f t="shared" si="123"/>
        <v>11969.397999999999</v>
      </c>
      <c r="FS96" s="550">
        <f t="shared" si="124"/>
        <v>11681.669</v>
      </c>
      <c r="FT96" s="550">
        <f t="shared" si="125"/>
        <v>11969.397999999999</v>
      </c>
    </row>
    <row r="97" spans="1:176" ht="15" customHeight="1" x14ac:dyDescent="0.25">
      <c r="A97" s="890" t="s">
        <v>888</v>
      </c>
      <c r="B97" s="544" t="s">
        <v>386</v>
      </c>
      <c r="C97" s="545">
        <v>0</v>
      </c>
      <c r="D97" s="545">
        <v>389984932</v>
      </c>
      <c r="E97" s="545">
        <v>151647402</v>
      </c>
      <c r="F97" s="545">
        <v>238337530</v>
      </c>
      <c r="G97" s="545">
        <v>24453085</v>
      </c>
      <c r="H97" s="546">
        <f t="shared" si="72"/>
        <v>406364.29914399999</v>
      </c>
      <c r="I97" s="546">
        <f t="shared" si="73"/>
        <v>158016.59288400001</v>
      </c>
      <c r="J97" s="546">
        <f t="shared" si="74"/>
        <v>248347.70626000001</v>
      </c>
      <c r="K97" s="546">
        <f t="shared" si="75"/>
        <v>25480.114570000002</v>
      </c>
      <c r="O97" s="544"/>
      <c r="P97" s="545"/>
      <c r="Q97" s="546"/>
      <c r="S97" s="544" t="s">
        <v>385</v>
      </c>
      <c r="T97" s="545">
        <v>535286</v>
      </c>
      <c r="U97" s="545">
        <v>237405</v>
      </c>
      <c r="V97" s="545">
        <v>535286</v>
      </c>
      <c r="W97" s="545">
        <v>0</v>
      </c>
      <c r="X97" s="546">
        <f t="shared" si="77"/>
        <v>557.768012</v>
      </c>
      <c r="Y97" s="546">
        <f t="shared" si="78"/>
        <v>247.37601000000001</v>
      </c>
      <c r="Z97" s="546">
        <f t="shared" si="79"/>
        <v>557.768012</v>
      </c>
      <c r="AA97" s="546">
        <f t="shared" si="80"/>
        <v>0</v>
      </c>
      <c r="AC97" s="544" t="s">
        <v>597</v>
      </c>
      <c r="AD97" s="545">
        <v>18537891</v>
      </c>
      <c r="AE97" s="546">
        <f t="shared" si="81"/>
        <v>18537.891</v>
      </c>
      <c r="AG97" s="544" t="s">
        <v>384</v>
      </c>
      <c r="AH97" s="545">
        <v>8992619</v>
      </c>
      <c r="AI97" s="545">
        <v>2804752</v>
      </c>
      <c r="AJ97" s="545">
        <v>3336077</v>
      </c>
      <c r="AK97" s="545">
        <v>5656542</v>
      </c>
      <c r="AL97" s="545">
        <f t="shared" si="82"/>
        <v>8992.6190000000006</v>
      </c>
      <c r="AM97" s="545">
        <f t="shared" si="83"/>
        <v>2804.752</v>
      </c>
      <c r="AN97" s="545">
        <f t="shared" si="84"/>
        <v>3336.0770000000002</v>
      </c>
      <c r="AO97" s="545">
        <f t="shared" si="85"/>
        <v>5656.5420000000004</v>
      </c>
      <c r="AV97" s="544" t="s">
        <v>383</v>
      </c>
      <c r="AW97" s="545">
        <v>109893283</v>
      </c>
      <c r="AX97" s="545">
        <v>4703385</v>
      </c>
      <c r="AY97" s="545">
        <v>6185632</v>
      </c>
      <c r="AZ97" s="545">
        <v>103707651</v>
      </c>
      <c r="BA97" s="546">
        <f t="shared" si="87"/>
        <v>109893.283</v>
      </c>
      <c r="BB97" s="546">
        <f t="shared" si="88"/>
        <v>4703.3850000000002</v>
      </c>
      <c r="BC97" s="546">
        <f t="shared" si="89"/>
        <v>6185.6319999999996</v>
      </c>
      <c r="BD97" s="546">
        <f t="shared" si="90"/>
        <v>103707.651</v>
      </c>
      <c r="BK97" s="544" t="s">
        <v>564</v>
      </c>
      <c r="BL97" s="545">
        <v>11260945</v>
      </c>
      <c r="BM97" s="545">
        <v>1086982</v>
      </c>
      <c r="BN97" s="545">
        <v>3260945</v>
      </c>
      <c r="BO97" s="545">
        <v>8000000</v>
      </c>
      <c r="BP97" s="545">
        <f t="shared" si="92"/>
        <v>11260.945</v>
      </c>
      <c r="BQ97" s="545">
        <f t="shared" si="93"/>
        <v>1086.982</v>
      </c>
      <c r="BR97" s="545">
        <f t="shared" si="94"/>
        <v>3260.9450000000002</v>
      </c>
      <c r="BS97" s="545">
        <f t="shared" si="95"/>
        <v>8000</v>
      </c>
      <c r="BV97" s="544" t="s">
        <v>915</v>
      </c>
      <c r="BW97" s="545">
        <v>260000000</v>
      </c>
      <c r="BX97" s="546">
        <f t="shared" si="96"/>
        <v>260000</v>
      </c>
      <c r="BZ97" s="544" t="s">
        <v>564</v>
      </c>
      <c r="CA97" s="545">
        <v>13756441</v>
      </c>
      <c r="CB97" s="545">
        <v>1630473</v>
      </c>
      <c r="CC97" s="545">
        <v>3260945</v>
      </c>
      <c r="CD97" s="545">
        <v>10495496</v>
      </c>
      <c r="CE97" s="545">
        <f t="shared" si="97"/>
        <v>13756.441000000001</v>
      </c>
      <c r="CF97" s="545">
        <f t="shared" si="98"/>
        <v>1630.473</v>
      </c>
      <c r="CG97" s="545">
        <f t="shared" si="99"/>
        <v>3260.9450000000002</v>
      </c>
      <c r="CH97" s="545">
        <f t="shared" si="100"/>
        <v>10495.495999999999</v>
      </c>
      <c r="CK97" s="547" t="s">
        <v>396</v>
      </c>
      <c r="CL97" s="546">
        <v>1073305</v>
      </c>
      <c r="CM97" s="546">
        <f t="shared" si="101"/>
        <v>1073.3050000000001</v>
      </c>
      <c r="CP97" s="547" t="s">
        <v>383</v>
      </c>
      <c r="CQ97" s="546">
        <v>274639149</v>
      </c>
      <c r="CR97" s="546">
        <v>47159613</v>
      </c>
      <c r="CS97" s="546">
        <v>111599279</v>
      </c>
      <c r="CT97" s="546">
        <v>163039870</v>
      </c>
      <c r="CU97" s="546">
        <f t="shared" si="68"/>
        <v>274639.14899999998</v>
      </c>
      <c r="CV97" s="546">
        <f t="shared" si="69"/>
        <v>47159.612999999998</v>
      </c>
      <c r="CW97" s="546">
        <f t="shared" si="70"/>
        <v>111599.27899999999</v>
      </c>
      <c r="CX97" s="546">
        <f t="shared" si="71"/>
        <v>163039.87</v>
      </c>
      <c r="CZ97" s="547" t="s">
        <v>396</v>
      </c>
      <c r="DA97" s="546">
        <v>1294390</v>
      </c>
      <c r="DB97" s="546">
        <f t="shared" si="102"/>
        <v>1294.3900000000001</v>
      </c>
      <c r="DE97" s="544" t="s">
        <v>382</v>
      </c>
      <c r="DF97" s="545">
        <v>285600</v>
      </c>
      <c r="DG97" s="545">
        <v>0</v>
      </c>
      <c r="DH97" s="545">
        <v>0</v>
      </c>
      <c r="DI97" s="545">
        <v>285600</v>
      </c>
      <c r="DJ97" s="546">
        <f t="shared" si="103"/>
        <v>285.60000000000002</v>
      </c>
      <c r="DK97" s="546">
        <f t="shared" si="104"/>
        <v>0</v>
      </c>
      <c r="DL97" s="546">
        <f t="shared" si="105"/>
        <v>0</v>
      </c>
      <c r="DM97" s="546">
        <f t="shared" si="106"/>
        <v>285.60000000000002</v>
      </c>
      <c r="DP97" s="544" t="s">
        <v>598</v>
      </c>
      <c r="DQ97" s="545">
        <v>56745569</v>
      </c>
      <c r="DR97" s="546">
        <f t="shared" si="107"/>
        <v>56745.569000000003</v>
      </c>
      <c r="DT97" s="544" t="s">
        <v>382</v>
      </c>
      <c r="DU97" s="545">
        <v>285600</v>
      </c>
      <c r="DV97" s="545">
        <v>0</v>
      </c>
      <c r="DW97" s="545">
        <v>285600</v>
      </c>
      <c r="DX97" s="545">
        <v>0</v>
      </c>
      <c r="DY97" s="546">
        <f t="shared" si="108"/>
        <v>285.60000000000002</v>
      </c>
      <c r="DZ97" s="546">
        <f t="shared" si="109"/>
        <v>0</v>
      </c>
      <c r="EA97" s="546">
        <f t="shared" si="110"/>
        <v>285.60000000000002</v>
      </c>
      <c r="EB97" s="546">
        <f t="shared" si="111"/>
        <v>0</v>
      </c>
      <c r="EE97" s="547" t="s">
        <v>852</v>
      </c>
      <c r="EF97" s="546">
        <v>40026549</v>
      </c>
      <c r="EG97" s="548">
        <f t="shared" si="112"/>
        <v>40026.548999999999</v>
      </c>
      <c r="EI97" s="547" t="s">
        <v>562</v>
      </c>
      <c r="EJ97" s="546">
        <v>0</v>
      </c>
      <c r="EK97" s="546">
        <v>0</v>
      </c>
      <c r="EL97" s="546">
        <v>0</v>
      </c>
      <c r="EM97" s="548">
        <f t="shared" si="113"/>
        <v>0</v>
      </c>
      <c r="EN97" s="548">
        <f t="shared" si="114"/>
        <v>0</v>
      </c>
      <c r="EO97" s="548">
        <f t="shared" si="115"/>
        <v>0</v>
      </c>
      <c r="ER97" s="544" t="s">
        <v>857</v>
      </c>
      <c r="ES97" s="545">
        <v>1172394</v>
      </c>
      <c r="ET97" s="546">
        <f t="shared" si="116"/>
        <v>1172.394</v>
      </c>
      <c r="EW97" s="544" t="s">
        <v>564</v>
      </c>
      <c r="EX97" s="545">
        <v>0</v>
      </c>
      <c r="EY97" s="545">
        <v>15168121</v>
      </c>
      <c r="EZ97" s="545">
        <v>14624631</v>
      </c>
      <c r="FA97" s="545">
        <v>15168121</v>
      </c>
      <c r="FB97" s="545">
        <v>0</v>
      </c>
      <c r="FC97" s="546">
        <f t="shared" si="126"/>
        <v>0</v>
      </c>
      <c r="FD97" s="546">
        <f t="shared" si="127"/>
        <v>15168.120999999999</v>
      </c>
      <c r="FE97" s="546">
        <f t="shared" si="128"/>
        <v>14624.630999999999</v>
      </c>
      <c r="FF97" s="546">
        <f t="shared" si="129"/>
        <v>15168.120999999999</v>
      </c>
      <c r="FG97" s="546">
        <f t="shared" si="130"/>
        <v>0</v>
      </c>
      <c r="FJ97" s="547" t="s">
        <v>569</v>
      </c>
      <c r="FK97" s="546">
        <v>20374798</v>
      </c>
      <c r="FL97" s="548">
        <f t="shared" si="122"/>
        <v>20374.797999999999</v>
      </c>
      <c r="FN97" s="549" t="s">
        <v>563</v>
      </c>
      <c r="FO97" s="550">
        <v>6151771</v>
      </c>
      <c r="FP97" s="550">
        <v>5931859</v>
      </c>
      <c r="FQ97" s="550">
        <v>6151771</v>
      </c>
      <c r="FR97" s="550">
        <f t="shared" si="123"/>
        <v>6151.7709999999997</v>
      </c>
      <c r="FS97" s="550">
        <f t="shared" si="124"/>
        <v>5931.8590000000004</v>
      </c>
      <c r="FT97" s="550">
        <f t="shared" si="125"/>
        <v>6151.7709999999997</v>
      </c>
    </row>
    <row r="98" spans="1:176" ht="15" customHeight="1" x14ac:dyDescent="0.25">
      <c r="A98" s="890" t="s">
        <v>889</v>
      </c>
      <c r="B98" s="544" t="s">
        <v>387</v>
      </c>
      <c r="C98" s="545">
        <v>0</v>
      </c>
      <c r="D98" s="545">
        <v>105261032</v>
      </c>
      <c r="E98" s="545">
        <v>62534758</v>
      </c>
      <c r="F98" s="545">
        <v>42726274</v>
      </c>
      <c r="G98" s="545">
        <v>5035390</v>
      </c>
      <c r="H98" s="546">
        <f t="shared" si="72"/>
        <v>109681.99534400001</v>
      </c>
      <c r="I98" s="546">
        <f t="shared" si="73"/>
        <v>65161.217836000003</v>
      </c>
      <c r="J98" s="546">
        <f t="shared" si="74"/>
        <v>44520.777507999999</v>
      </c>
      <c r="K98" s="546">
        <f t="shared" si="75"/>
        <v>5246.8763800000006</v>
      </c>
      <c r="O98" s="544"/>
      <c r="P98" s="545"/>
      <c r="Q98" s="546"/>
      <c r="S98" s="544" t="s">
        <v>386</v>
      </c>
      <c r="T98" s="545">
        <v>408442842</v>
      </c>
      <c r="U98" s="545">
        <v>58313511</v>
      </c>
      <c r="V98" s="545">
        <v>212621309</v>
      </c>
      <c r="W98" s="545">
        <v>195821533</v>
      </c>
      <c r="X98" s="546">
        <f t="shared" si="77"/>
        <v>425597.44136400003</v>
      </c>
      <c r="Y98" s="546">
        <f t="shared" si="78"/>
        <v>60762.678462000003</v>
      </c>
      <c r="Z98" s="546">
        <f t="shared" si="79"/>
        <v>221551.40397800002</v>
      </c>
      <c r="AA98" s="546">
        <f t="shared" si="80"/>
        <v>204046.03738600001</v>
      </c>
      <c r="AC98" s="544" t="s">
        <v>598</v>
      </c>
      <c r="AD98" s="545">
        <v>18537891</v>
      </c>
      <c r="AE98" s="546">
        <f t="shared" si="81"/>
        <v>18537.891</v>
      </c>
      <c r="AG98" s="544" t="s">
        <v>385</v>
      </c>
      <c r="AH98" s="545">
        <v>1116136</v>
      </c>
      <c r="AI98" s="545">
        <v>818636</v>
      </c>
      <c r="AJ98" s="545">
        <v>1116136</v>
      </c>
      <c r="AK98" s="545">
        <v>0</v>
      </c>
      <c r="AL98" s="545">
        <f t="shared" si="82"/>
        <v>1116.136</v>
      </c>
      <c r="AM98" s="545">
        <f t="shared" si="83"/>
        <v>818.63599999999997</v>
      </c>
      <c r="AN98" s="545">
        <f t="shared" si="84"/>
        <v>1116.136</v>
      </c>
      <c r="AO98" s="545">
        <f t="shared" si="85"/>
        <v>0</v>
      </c>
      <c r="AV98" s="544" t="s">
        <v>384</v>
      </c>
      <c r="AW98" s="545">
        <v>108734307</v>
      </c>
      <c r="AX98" s="545">
        <v>3587249</v>
      </c>
      <c r="AY98" s="545">
        <v>5026656</v>
      </c>
      <c r="AZ98" s="545">
        <v>103707651</v>
      </c>
      <c r="BA98" s="546">
        <f t="shared" si="87"/>
        <v>108734.307</v>
      </c>
      <c r="BB98" s="546">
        <f t="shared" si="88"/>
        <v>3587.2489999999998</v>
      </c>
      <c r="BC98" s="546">
        <f t="shared" si="89"/>
        <v>5026.6559999999999</v>
      </c>
      <c r="BD98" s="546">
        <f t="shared" si="90"/>
        <v>103707.651</v>
      </c>
      <c r="BK98" s="544" t="s">
        <v>383</v>
      </c>
      <c r="BL98" s="545">
        <v>114831783</v>
      </c>
      <c r="BM98" s="545">
        <v>12235084</v>
      </c>
      <c r="BN98" s="545">
        <v>12235084</v>
      </c>
      <c r="BO98" s="545">
        <v>102596699</v>
      </c>
      <c r="BP98" s="545">
        <f t="shared" si="92"/>
        <v>114831.783</v>
      </c>
      <c r="BQ98" s="545">
        <f t="shared" si="93"/>
        <v>12235.084000000001</v>
      </c>
      <c r="BR98" s="545">
        <f t="shared" si="94"/>
        <v>12235.084000000001</v>
      </c>
      <c r="BS98" s="545">
        <f t="shared" si="95"/>
        <v>102596.69899999999</v>
      </c>
      <c r="BV98" s="544" t="s">
        <v>597</v>
      </c>
      <c r="BW98" s="545">
        <v>27962296</v>
      </c>
      <c r="BX98" s="546">
        <f t="shared" si="96"/>
        <v>27962.295999999998</v>
      </c>
      <c r="BZ98" s="544" t="s">
        <v>383</v>
      </c>
      <c r="CA98" s="545">
        <v>114948549</v>
      </c>
      <c r="CB98" s="545">
        <v>12351850</v>
      </c>
      <c r="CC98" s="545">
        <v>111489799</v>
      </c>
      <c r="CD98" s="545">
        <v>3458750</v>
      </c>
      <c r="CE98" s="545">
        <f t="shared" si="97"/>
        <v>114948.549</v>
      </c>
      <c r="CF98" s="545">
        <f t="shared" si="98"/>
        <v>12351.85</v>
      </c>
      <c r="CG98" s="545">
        <f t="shared" si="99"/>
        <v>111489.799</v>
      </c>
      <c r="CH98" s="545">
        <f t="shared" si="100"/>
        <v>3458.75</v>
      </c>
      <c r="CK98" s="547" t="s">
        <v>574</v>
      </c>
      <c r="CL98" s="546">
        <v>204961523</v>
      </c>
      <c r="CM98" s="546">
        <f t="shared" si="101"/>
        <v>204961.52299999999</v>
      </c>
      <c r="CP98" s="547" t="s">
        <v>384</v>
      </c>
      <c r="CQ98" s="546">
        <v>268315427</v>
      </c>
      <c r="CR98" s="546">
        <v>40835891</v>
      </c>
      <c r="CS98" s="546">
        <v>105275557</v>
      </c>
      <c r="CT98" s="546">
        <v>163039870</v>
      </c>
      <c r="CU98" s="546">
        <f t="shared" si="68"/>
        <v>268315.42700000003</v>
      </c>
      <c r="CV98" s="546">
        <f t="shared" si="69"/>
        <v>40835.891000000003</v>
      </c>
      <c r="CW98" s="546">
        <f t="shared" si="70"/>
        <v>105275.557</v>
      </c>
      <c r="CX98" s="546">
        <f t="shared" si="71"/>
        <v>163039.87</v>
      </c>
      <c r="CZ98" s="547" t="s">
        <v>398</v>
      </c>
      <c r="DA98" s="546">
        <v>406278341</v>
      </c>
      <c r="DB98" s="546">
        <f t="shared" si="102"/>
        <v>406278.34100000001</v>
      </c>
      <c r="DE98" s="544" t="s">
        <v>383</v>
      </c>
      <c r="DF98" s="545">
        <v>274139149</v>
      </c>
      <c r="DG98" s="545">
        <v>50605175</v>
      </c>
      <c r="DH98" s="545">
        <v>115044841</v>
      </c>
      <c r="DI98" s="545">
        <v>159094308</v>
      </c>
      <c r="DJ98" s="546">
        <f t="shared" si="103"/>
        <v>274139.14899999998</v>
      </c>
      <c r="DK98" s="546">
        <f t="shared" si="104"/>
        <v>50605.175000000003</v>
      </c>
      <c r="DL98" s="546">
        <f t="shared" si="105"/>
        <v>115044.841</v>
      </c>
      <c r="DM98" s="546">
        <f t="shared" si="106"/>
        <v>159094.30799999999</v>
      </c>
      <c r="DP98" s="544" t="s">
        <v>852</v>
      </c>
      <c r="DQ98" s="545">
        <v>56745569</v>
      </c>
      <c r="DR98" s="546">
        <f t="shared" si="107"/>
        <v>56745.569000000003</v>
      </c>
      <c r="DT98" s="544" t="s">
        <v>383</v>
      </c>
      <c r="DU98" s="545">
        <v>273589149</v>
      </c>
      <c r="DV98" s="545">
        <v>116099181</v>
      </c>
      <c r="DW98" s="545">
        <v>117937888</v>
      </c>
      <c r="DX98" s="545">
        <v>155651261</v>
      </c>
      <c r="DY98" s="546">
        <f t="shared" si="108"/>
        <v>273589.14899999998</v>
      </c>
      <c r="DZ98" s="546">
        <f t="shared" si="109"/>
        <v>116099.181</v>
      </c>
      <c r="EA98" s="546">
        <f t="shared" si="110"/>
        <v>117937.88800000001</v>
      </c>
      <c r="EB98" s="546">
        <f t="shared" si="111"/>
        <v>155651.261</v>
      </c>
      <c r="EE98" s="547" t="s">
        <v>857</v>
      </c>
      <c r="EF98" s="546">
        <v>1467627</v>
      </c>
      <c r="EG98" s="548">
        <f t="shared" si="112"/>
        <v>1467.627</v>
      </c>
      <c r="EI98" s="547" t="s">
        <v>563</v>
      </c>
      <c r="EJ98" s="546">
        <v>1042975</v>
      </c>
      <c r="EK98" s="546">
        <v>1042975</v>
      </c>
      <c r="EL98" s="546">
        <v>614575</v>
      </c>
      <c r="EM98" s="548">
        <f t="shared" si="113"/>
        <v>1042.9749999999999</v>
      </c>
      <c r="EN98" s="548">
        <f t="shared" si="114"/>
        <v>1042.9749999999999</v>
      </c>
      <c r="EO98" s="548">
        <f t="shared" si="115"/>
        <v>614.57500000000005</v>
      </c>
      <c r="ER98" s="544" t="s">
        <v>580</v>
      </c>
      <c r="ES98" s="545">
        <v>103353620</v>
      </c>
      <c r="ET98" s="546">
        <f t="shared" si="116"/>
        <v>103353.62</v>
      </c>
      <c r="EW98" s="544" t="s">
        <v>382</v>
      </c>
      <c r="EX98" s="545">
        <v>0</v>
      </c>
      <c r="EY98" s="545">
        <v>285600</v>
      </c>
      <c r="EZ98" s="545">
        <v>285600</v>
      </c>
      <c r="FA98" s="545">
        <v>285600</v>
      </c>
      <c r="FB98" s="545">
        <v>0</v>
      </c>
      <c r="FC98" s="546">
        <f t="shared" si="126"/>
        <v>0</v>
      </c>
      <c r="FD98" s="546">
        <f t="shared" si="127"/>
        <v>285.60000000000002</v>
      </c>
      <c r="FE98" s="546">
        <f t="shared" si="128"/>
        <v>285.60000000000002</v>
      </c>
      <c r="FF98" s="546">
        <f t="shared" si="129"/>
        <v>285.60000000000002</v>
      </c>
      <c r="FG98" s="546">
        <f t="shared" si="130"/>
        <v>0</v>
      </c>
      <c r="FJ98" s="547" t="s">
        <v>472</v>
      </c>
      <c r="FK98" s="546">
        <v>2388858</v>
      </c>
      <c r="FL98" s="548">
        <f t="shared" si="122"/>
        <v>2388.8580000000002</v>
      </c>
      <c r="FN98" s="549" t="s">
        <v>564</v>
      </c>
      <c r="FO98" s="550">
        <v>15168122</v>
      </c>
      <c r="FP98" s="550">
        <v>15168122</v>
      </c>
      <c r="FQ98" s="550">
        <v>15168122</v>
      </c>
      <c r="FR98" s="550">
        <f t="shared" si="123"/>
        <v>15168.121999999999</v>
      </c>
      <c r="FS98" s="550">
        <f t="shared" si="124"/>
        <v>15168.121999999999</v>
      </c>
      <c r="FT98" s="550">
        <f t="shared" si="125"/>
        <v>15168.121999999999</v>
      </c>
    </row>
    <row r="99" spans="1:176" ht="15" customHeight="1" x14ac:dyDescent="0.25">
      <c r="A99" s="890" t="s">
        <v>889</v>
      </c>
      <c r="B99" s="544" t="s">
        <v>471</v>
      </c>
      <c r="C99" s="545">
        <v>0</v>
      </c>
      <c r="D99" s="545">
        <v>31888992</v>
      </c>
      <c r="E99" s="545">
        <v>31888992</v>
      </c>
      <c r="F99" s="545">
        <v>0</v>
      </c>
      <c r="G99" s="545">
        <v>0</v>
      </c>
      <c r="H99" s="546">
        <f t="shared" si="72"/>
        <v>33228.329663999997</v>
      </c>
      <c r="I99" s="546">
        <f t="shared" si="73"/>
        <v>33228.329663999997</v>
      </c>
      <c r="J99" s="546">
        <f t="shared" si="74"/>
        <v>0</v>
      </c>
      <c r="K99" s="546">
        <f t="shared" si="75"/>
        <v>0</v>
      </c>
      <c r="O99" s="544"/>
      <c r="P99" s="545"/>
      <c r="Q99" s="546"/>
      <c r="S99" s="544" t="s">
        <v>387</v>
      </c>
      <c r="T99" s="545">
        <v>106043608</v>
      </c>
      <c r="U99" s="545">
        <v>11597889</v>
      </c>
      <c r="V99" s="545">
        <v>73208604</v>
      </c>
      <c r="W99" s="545">
        <v>32835004</v>
      </c>
      <c r="X99" s="546">
        <f t="shared" si="77"/>
        <v>110497.43953599999</v>
      </c>
      <c r="Y99" s="546">
        <f t="shared" si="78"/>
        <v>12085.000338</v>
      </c>
      <c r="Z99" s="546">
        <f t="shared" si="79"/>
        <v>76283.365368000013</v>
      </c>
      <c r="AA99" s="546">
        <f t="shared" si="80"/>
        <v>34214.074167999999</v>
      </c>
      <c r="AC99" s="544" t="s">
        <v>852</v>
      </c>
      <c r="AD99" s="545">
        <v>18537891</v>
      </c>
      <c r="AE99" s="546">
        <f t="shared" si="81"/>
        <v>18537.891</v>
      </c>
      <c r="AG99" s="544" t="s">
        <v>386</v>
      </c>
      <c r="AH99" s="545">
        <v>588286907</v>
      </c>
      <c r="AI99" s="545">
        <v>96543219</v>
      </c>
      <c r="AJ99" s="545">
        <v>255244925</v>
      </c>
      <c r="AK99" s="545">
        <v>333041982</v>
      </c>
      <c r="AL99" s="545">
        <f t="shared" si="82"/>
        <v>588286.90700000001</v>
      </c>
      <c r="AM99" s="545">
        <f t="shared" si="83"/>
        <v>96543.218999999997</v>
      </c>
      <c r="AN99" s="545">
        <f t="shared" si="84"/>
        <v>255244.92499999999</v>
      </c>
      <c r="AO99" s="545">
        <f t="shared" si="85"/>
        <v>333041.98200000002</v>
      </c>
      <c r="AV99" s="544" t="s">
        <v>385</v>
      </c>
      <c r="AW99" s="545">
        <v>1158976</v>
      </c>
      <c r="AX99" s="545">
        <v>1116136</v>
      </c>
      <c r="AY99" s="545">
        <v>1158976</v>
      </c>
      <c r="AZ99" s="545">
        <v>0</v>
      </c>
      <c r="BA99" s="546">
        <f t="shared" si="87"/>
        <v>1158.9760000000001</v>
      </c>
      <c r="BB99" s="546">
        <f t="shared" si="88"/>
        <v>1116.136</v>
      </c>
      <c r="BC99" s="546">
        <f t="shared" si="89"/>
        <v>1158.9760000000001</v>
      </c>
      <c r="BD99" s="546">
        <f t="shared" si="90"/>
        <v>0</v>
      </c>
      <c r="BK99" s="544" t="s">
        <v>384</v>
      </c>
      <c r="BL99" s="545">
        <v>108734307</v>
      </c>
      <c r="BM99" s="545">
        <v>6137608</v>
      </c>
      <c r="BN99" s="545">
        <v>6137608</v>
      </c>
      <c r="BO99" s="545">
        <v>102596699</v>
      </c>
      <c r="BP99" s="545">
        <f t="shared" si="92"/>
        <v>108734.307</v>
      </c>
      <c r="BQ99" s="545">
        <f t="shared" si="93"/>
        <v>6137.6080000000002</v>
      </c>
      <c r="BR99" s="545">
        <f t="shared" si="94"/>
        <v>6137.6080000000002</v>
      </c>
      <c r="BS99" s="545">
        <f t="shared" si="95"/>
        <v>102596.69899999999</v>
      </c>
      <c r="BV99" s="544" t="s">
        <v>598</v>
      </c>
      <c r="BW99" s="545">
        <v>27962296</v>
      </c>
      <c r="BX99" s="546">
        <f t="shared" si="96"/>
        <v>27962.295999999998</v>
      </c>
      <c r="BZ99" s="544" t="s">
        <v>384</v>
      </c>
      <c r="CA99" s="545">
        <v>108734307</v>
      </c>
      <c r="CB99" s="545">
        <v>6137608</v>
      </c>
      <c r="CC99" s="545">
        <v>105275557</v>
      </c>
      <c r="CD99" s="545">
        <v>3458750</v>
      </c>
      <c r="CE99" s="545">
        <f t="shared" si="97"/>
        <v>108734.307</v>
      </c>
      <c r="CF99" s="545">
        <f t="shared" si="98"/>
        <v>6137.6080000000002</v>
      </c>
      <c r="CG99" s="545">
        <f t="shared" si="99"/>
        <v>105275.557</v>
      </c>
      <c r="CH99" s="545">
        <f t="shared" si="100"/>
        <v>3458.75</v>
      </c>
      <c r="CK99" s="547" t="s">
        <v>575</v>
      </c>
      <c r="CL99" s="546">
        <v>204961523</v>
      </c>
      <c r="CM99" s="546">
        <f t="shared" si="101"/>
        <v>204961.52299999999</v>
      </c>
      <c r="CP99" s="547" t="s">
        <v>385</v>
      </c>
      <c r="CQ99" s="546">
        <v>6323722</v>
      </c>
      <c r="CR99" s="546">
        <v>6323722</v>
      </c>
      <c r="CS99" s="546">
        <v>6323722</v>
      </c>
      <c r="CT99" s="546">
        <v>0</v>
      </c>
      <c r="CU99" s="546">
        <f t="shared" ref="CU99:CU130" si="131">+CQ99/$CV$1*$CW$1</f>
        <v>6323.7219999999998</v>
      </c>
      <c r="CV99" s="546">
        <f t="shared" ref="CV99:CV130" si="132">+CR99/$CV$1*$CW$1</f>
        <v>6323.7219999999998</v>
      </c>
      <c r="CW99" s="546">
        <f t="shared" ref="CW99:CW130" si="133">+CS99/$CV$1*$CW$1</f>
        <v>6323.7219999999998</v>
      </c>
      <c r="CX99" s="546">
        <f t="shared" ref="CX99:CX130" si="134">+CT99/$CV$1*$CW$1</f>
        <v>0</v>
      </c>
      <c r="CZ99" s="547" t="s">
        <v>399</v>
      </c>
      <c r="DA99" s="546">
        <v>406278341</v>
      </c>
      <c r="DB99" s="546">
        <f t="shared" si="102"/>
        <v>406278.34100000001</v>
      </c>
      <c r="DE99" s="544" t="s">
        <v>384</v>
      </c>
      <c r="DF99" s="545">
        <v>265915427</v>
      </c>
      <c r="DG99" s="545">
        <v>44281453</v>
      </c>
      <c r="DH99" s="545">
        <v>108721119</v>
      </c>
      <c r="DI99" s="545">
        <v>157194308</v>
      </c>
      <c r="DJ99" s="546">
        <f t="shared" si="103"/>
        <v>265915.42700000003</v>
      </c>
      <c r="DK99" s="546">
        <f t="shared" si="104"/>
        <v>44281.453000000001</v>
      </c>
      <c r="DL99" s="546">
        <f t="shared" si="105"/>
        <v>108721.11900000001</v>
      </c>
      <c r="DM99" s="546">
        <f t="shared" si="106"/>
        <v>157194.30799999999</v>
      </c>
      <c r="DP99" s="544" t="s">
        <v>881</v>
      </c>
      <c r="DQ99" s="545">
        <v>1717703457</v>
      </c>
      <c r="DR99" s="546">
        <f t="shared" si="107"/>
        <v>1717703.4569999999</v>
      </c>
      <c r="DT99" s="544" t="s">
        <v>384</v>
      </c>
      <c r="DU99" s="545">
        <v>265365427</v>
      </c>
      <c r="DV99" s="545">
        <v>108721119</v>
      </c>
      <c r="DW99" s="545">
        <v>110559826</v>
      </c>
      <c r="DX99" s="545">
        <v>154805601</v>
      </c>
      <c r="DY99" s="546">
        <f t="shared" si="108"/>
        <v>265365.42700000003</v>
      </c>
      <c r="DZ99" s="546">
        <f t="shared" si="109"/>
        <v>108721.11900000001</v>
      </c>
      <c r="EA99" s="546">
        <f t="shared" si="110"/>
        <v>110559.826</v>
      </c>
      <c r="EB99" s="546">
        <f t="shared" si="111"/>
        <v>154805.601</v>
      </c>
      <c r="EE99" s="547" t="s">
        <v>580</v>
      </c>
      <c r="EF99" s="546">
        <v>8018218</v>
      </c>
      <c r="EG99" s="548">
        <f t="shared" si="112"/>
        <v>8018.2179999999998</v>
      </c>
      <c r="EI99" s="547" t="s">
        <v>564</v>
      </c>
      <c r="EJ99" s="546">
        <v>19324024</v>
      </c>
      <c r="EK99" s="546">
        <v>4435141</v>
      </c>
      <c r="EL99" s="546">
        <v>3348160</v>
      </c>
      <c r="EM99" s="548">
        <f t="shared" si="113"/>
        <v>19324.024000000001</v>
      </c>
      <c r="EN99" s="548">
        <f t="shared" si="114"/>
        <v>4435.1409999999996</v>
      </c>
      <c r="EO99" s="548">
        <f t="shared" si="115"/>
        <v>3348.16</v>
      </c>
      <c r="ER99" s="544" t="s">
        <v>831</v>
      </c>
      <c r="ES99" s="545">
        <v>14394135</v>
      </c>
      <c r="ET99" s="546">
        <f t="shared" si="116"/>
        <v>14394.135</v>
      </c>
      <c r="EW99" s="544" t="s">
        <v>383</v>
      </c>
      <c r="EX99" s="545">
        <v>0</v>
      </c>
      <c r="EY99" s="545">
        <v>118424132</v>
      </c>
      <c r="EZ99" s="545">
        <v>118424132</v>
      </c>
      <c r="FA99" s="545">
        <v>118424132</v>
      </c>
      <c r="FB99" s="545">
        <v>0</v>
      </c>
      <c r="FC99" s="546">
        <f t="shared" si="126"/>
        <v>0</v>
      </c>
      <c r="FD99" s="546">
        <f t="shared" si="127"/>
        <v>118424.132</v>
      </c>
      <c r="FE99" s="546">
        <f t="shared" si="128"/>
        <v>118424.132</v>
      </c>
      <c r="FF99" s="546">
        <f t="shared" si="129"/>
        <v>118424.132</v>
      </c>
      <c r="FG99" s="546">
        <f t="shared" si="130"/>
        <v>0</v>
      </c>
      <c r="FJ99" s="547" t="s">
        <v>571</v>
      </c>
      <c r="FK99" s="546">
        <v>416616417</v>
      </c>
      <c r="FL99" s="548">
        <f t="shared" si="122"/>
        <v>416616.41700000002</v>
      </c>
      <c r="FN99" s="549" t="s">
        <v>382</v>
      </c>
      <c r="FO99" s="550">
        <v>285600</v>
      </c>
      <c r="FP99" s="550">
        <v>285600</v>
      </c>
      <c r="FQ99" s="550">
        <v>285600</v>
      </c>
      <c r="FR99" s="550">
        <f t="shared" si="123"/>
        <v>285.60000000000002</v>
      </c>
      <c r="FS99" s="550">
        <f t="shared" si="124"/>
        <v>285.60000000000002</v>
      </c>
      <c r="FT99" s="550">
        <f t="shared" si="125"/>
        <v>285.60000000000002</v>
      </c>
    </row>
    <row r="100" spans="1:176" ht="15" customHeight="1" x14ac:dyDescent="0.25">
      <c r="A100" s="890" t="s">
        <v>889</v>
      </c>
      <c r="B100" s="544" t="s">
        <v>565</v>
      </c>
      <c r="C100" s="545">
        <v>0</v>
      </c>
      <c r="D100" s="545">
        <v>144529406</v>
      </c>
      <c r="E100" s="545">
        <v>34208656</v>
      </c>
      <c r="F100" s="545">
        <v>110320750</v>
      </c>
      <c r="G100" s="545">
        <v>7219794</v>
      </c>
      <c r="H100" s="546">
        <f t="shared" si="72"/>
        <v>150599.64105199999</v>
      </c>
      <c r="I100" s="546">
        <f t="shared" si="73"/>
        <v>35645.419552000007</v>
      </c>
      <c r="J100" s="546">
        <f t="shared" si="74"/>
        <v>114954.2215</v>
      </c>
      <c r="K100" s="546">
        <f t="shared" si="75"/>
        <v>7523.0253480000001</v>
      </c>
      <c r="O100" s="544"/>
      <c r="P100" s="545"/>
      <c r="Q100" s="546"/>
      <c r="S100" s="544" t="s">
        <v>471</v>
      </c>
      <c r="T100" s="545">
        <v>31888992</v>
      </c>
      <c r="U100" s="545">
        <v>11589222</v>
      </c>
      <c r="V100" s="545">
        <v>31888992</v>
      </c>
      <c r="W100" s="545">
        <v>0</v>
      </c>
      <c r="X100" s="546">
        <f t="shared" si="77"/>
        <v>33228.329663999997</v>
      </c>
      <c r="Y100" s="546">
        <f t="shared" si="78"/>
        <v>12075.969324</v>
      </c>
      <c r="Z100" s="546">
        <f t="shared" si="79"/>
        <v>33228.329663999997</v>
      </c>
      <c r="AA100" s="546">
        <f t="shared" si="80"/>
        <v>0</v>
      </c>
      <c r="AC100" s="544" t="s">
        <v>881</v>
      </c>
      <c r="AD100" s="545">
        <v>793468000</v>
      </c>
      <c r="AE100" s="546">
        <f t="shared" si="81"/>
        <v>793468</v>
      </c>
      <c r="AG100" s="544" t="s">
        <v>387</v>
      </c>
      <c r="AH100" s="545">
        <v>106043608</v>
      </c>
      <c r="AI100" s="545">
        <v>17905980</v>
      </c>
      <c r="AJ100" s="545">
        <v>73208604</v>
      </c>
      <c r="AK100" s="545">
        <v>32835004</v>
      </c>
      <c r="AL100" s="545">
        <f t="shared" si="82"/>
        <v>106043.60799999999</v>
      </c>
      <c r="AM100" s="545">
        <f t="shared" si="83"/>
        <v>17905.98</v>
      </c>
      <c r="AN100" s="545">
        <f t="shared" si="84"/>
        <v>73208.604000000007</v>
      </c>
      <c r="AO100" s="545">
        <f t="shared" si="85"/>
        <v>32835.004000000001</v>
      </c>
      <c r="AV100" s="544" t="s">
        <v>386</v>
      </c>
      <c r="AW100" s="545">
        <v>694841292</v>
      </c>
      <c r="AX100" s="545">
        <v>145580305</v>
      </c>
      <c r="AY100" s="545">
        <v>300632957</v>
      </c>
      <c r="AZ100" s="545">
        <v>394208335</v>
      </c>
      <c r="BA100" s="546">
        <f t="shared" si="87"/>
        <v>694841.29200000002</v>
      </c>
      <c r="BB100" s="546">
        <f t="shared" si="88"/>
        <v>145580.30499999999</v>
      </c>
      <c r="BC100" s="546">
        <f t="shared" si="89"/>
        <v>300632.95699999999</v>
      </c>
      <c r="BD100" s="546">
        <f t="shared" si="90"/>
        <v>394208.33500000002</v>
      </c>
      <c r="BK100" s="544" t="s">
        <v>385</v>
      </c>
      <c r="BL100" s="545">
        <v>6097476</v>
      </c>
      <c r="BM100" s="545">
        <v>6097476</v>
      </c>
      <c r="BN100" s="545">
        <v>6097476</v>
      </c>
      <c r="BO100" s="545">
        <v>0</v>
      </c>
      <c r="BP100" s="545">
        <f t="shared" si="92"/>
        <v>6097.4759999999997</v>
      </c>
      <c r="BQ100" s="545">
        <f t="shared" si="93"/>
        <v>6097.4759999999997</v>
      </c>
      <c r="BR100" s="545">
        <f t="shared" si="94"/>
        <v>6097.4759999999997</v>
      </c>
      <c r="BS100" s="545">
        <f t="shared" si="95"/>
        <v>0</v>
      </c>
      <c r="BV100" s="544" t="s">
        <v>852</v>
      </c>
      <c r="BW100" s="545">
        <v>27962296</v>
      </c>
      <c r="BX100" s="546">
        <f t="shared" si="96"/>
        <v>27962.295999999998</v>
      </c>
      <c r="BZ100" s="544" t="s">
        <v>385</v>
      </c>
      <c r="CA100" s="545">
        <v>6214242</v>
      </c>
      <c r="CB100" s="545">
        <v>6214242</v>
      </c>
      <c r="CC100" s="545">
        <v>6214242</v>
      </c>
      <c r="CD100" s="545">
        <v>0</v>
      </c>
      <c r="CE100" s="545">
        <f t="shared" si="97"/>
        <v>6214.2420000000002</v>
      </c>
      <c r="CF100" s="545">
        <f t="shared" si="98"/>
        <v>6214.2420000000002</v>
      </c>
      <c r="CG100" s="545">
        <f t="shared" si="99"/>
        <v>6214.2420000000002</v>
      </c>
      <c r="CH100" s="545">
        <f t="shared" si="100"/>
        <v>0</v>
      </c>
      <c r="CK100" s="547" t="s">
        <v>576</v>
      </c>
      <c r="CL100" s="546">
        <v>204961523</v>
      </c>
      <c r="CM100" s="546">
        <f t="shared" si="101"/>
        <v>204961.52299999999</v>
      </c>
      <c r="CP100" s="547" t="s">
        <v>386</v>
      </c>
      <c r="CQ100" s="546">
        <v>812539818</v>
      </c>
      <c r="CR100" s="546">
        <v>470840379</v>
      </c>
      <c r="CS100" s="546">
        <v>695506545</v>
      </c>
      <c r="CT100" s="546">
        <v>117033273</v>
      </c>
      <c r="CU100" s="546">
        <f t="shared" si="131"/>
        <v>812539.81799999997</v>
      </c>
      <c r="CV100" s="546">
        <f t="shared" si="132"/>
        <v>470840.37900000002</v>
      </c>
      <c r="CW100" s="546">
        <f t="shared" si="133"/>
        <v>695506.54500000004</v>
      </c>
      <c r="CX100" s="546">
        <f t="shared" si="134"/>
        <v>117033.273</v>
      </c>
      <c r="CZ100" s="547" t="s">
        <v>913</v>
      </c>
      <c r="DA100" s="546">
        <v>400000000</v>
      </c>
      <c r="DB100" s="546">
        <f t="shared" si="102"/>
        <v>400000</v>
      </c>
      <c r="DE100" s="544" t="s">
        <v>385</v>
      </c>
      <c r="DF100" s="545">
        <v>8223722</v>
      </c>
      <c r="DG100" s="545">
        <v>6323722</v>
      </c>
      <c r="DH100" s="545">
        <v>6323722</v>
      </c>
      <c r="DI100" s="545">
        <v>1900000</v>
      </c>
      <c r="DJ100" s="546">
        <f t="shared" si="103"/>
        <v>8223.7219999999998</v>
      </c>
      <c r="DK100" s="546">
        <f t="shared" si="104"/>
        <v>6323.7219999999998</v>
      </c>
      <c r="DL100" s="546">
        <f t="shared" si="105"/>
        <v>6323.7219999999998</v>
      </c>
      <c r="DM100" s="546">
        <f t="shared" si="106"/>
        <v>1900</v>
      </c>
      <c r="DP100" s="544" t="s">
        <v>882</v>
      </c>
      <c r="DQ100" s="545">
        <v>1717703457</v>
      </c>
      <c r="DR100" s="546">
        <f t="shared" si="107"/>
        <v>1717703.4569999999</v>
      </c>
      <c r="DT100" s="544" t="s">
        <v>385</v>
      </c>
      <c r="DU100" s="545">
        <v>8223722</v>
      </c>
      <c r="DV100" s="545">
        <v>7378062</v>
      </c>
      <c r="DW100" s="545">
        <v>7378062</v>
      </c>
      <c r="DX100" s="545">
        <v>845660</v>
      </c>
      <c r="DY100" s="546">
        <f t="shared" si="108"/>
        <v>8223.7219999999998</v>
      </c>
      <c r="DZ100" s="546">
        <f t="shared" si="109"/>
        <v>7378.0619999999999</v>
      </c>
      <c r="EA100" s="546">
        <f t="shared" si="110"/>
        <v>7378.0619999999999</v>
      </c>
      <c r="EB100" s="546">
        <f t="shared" si="111"/>
        <v>845.66</v>
      </c>
      <c r="EE100" s="547" t="s">
        <v>400</v>
      </c>
      <c r="EF100" s="546">
        <v>821098</v>
      </c>
      <c r="EG100" s="548">
        <f t="shared" si="112"/>
        <v>821.09799999999996</v>
      </c>
      <c r="EI100" s="547" t="s">
        <v>382</v>
      </c>
      <c r="EJ100" s="546">
        <v>285600</v>
      </c>
      <c r="EK100" s="546">
        <v>285600</v>
      </c>
      <c r="EL100" s="546">
        <v>285600</v>
      </c>
      <c r="EM100" s="548">
        <f t="shared" si="113"/>
        <v>285.60000000000002</v>
      </c>
      <c r="EN100" s="548">
        <f t="shared" si="114"/>
        <v>285.60000000000002</v>
      </c>
      <c r="EO100" s="548">
        <f t="shared" si="115"/>
        <v>285.60000000000002</v>
      </c>
      <c r="ER100" s="544" t="s">
        <v>401</v>
      </c>
      <c r="ES100" s="545">
        <v>88959485</v>
      </c>
      <c r="ET100" s="546">
        <f t="shared" si="116"/>
        <v>88959.485000000001</v>
      </c>
      <c r="EW100" s="544" t="s">
        <v>384</v>
      </c>
      <c r="EX100" s="545">
        <v>0</v>
      </c>
      <c r="EY100" s="545">
        <v>111046070</v>
      </c>
      <c r="EZ100" s="545">
        <v>111046070</v>
      </c>
      <c r="FA100" s="545">
        <v>111046070</v>
      </c>
      <c r="FB100" s="545">
        <v>0</v>
      </c>
      <c r="FC100" s="546">
        <f t="shared" si="126"/>
        <v>0</v>
      </c>
      <c r="FD100" s="546">
        <f t="shared" si="127"/>
        <v>111046.07</v>
      </c>
      <c r="FE100" s="546">
        <f t="shared" si="128"/>
        <v>111046.07</v>
      </c>
      <c r="FF100" s="546">
        <f t="shared" si="129"/>
        <v>111046.07</v>
      </c>
      <c r="FG100" s="546">
        <f t="shared" si="130"/>
        <v>0</v>
      </c>
      <c r="FJ100" s="547" t="s">
        <v>392</v>
      </c>
      <c r="FK100" s="546">
        <v>175899959</v>
      </c>
      <c r="FL100" s="548">
        <f t="shared" si="122"/>
        <v>175899.959</v>
      </c>
      <c r="FN100" s="549" t="s">
        <v>383</v>
      </c>
      <c r="FO100" s="550">
        <v>120014886</v>
      </c>
      <c r="FP100" s="550">
        <v>120014886</v>
      </c>
      <c r="FQ100" s="550">
        <v>120014886</v>
      </c>
      <c r="FR100" s="550">
        <f t="shared" si="123"/>
        <v>120014.886</v>
      </c>
      <c r="FS100" s="550">
        <f t="shared" si="124"/>
        <v>120014.886</v>
      </c>
      <c r="FT100" s="550">
        <f t="shared" si="125"/>
        <v>120014.886</v>
      </c>
    </row>
    <row r="101" spans="1:176" ht="15" customHeight="1" x14ac:dyDescent="0.25">
      <c r="A101" s="890" t="s">
        <v>889</v>
      </c>
      <c r="B101" s="544" t="s">
        <v>566</v>
      </c>
      <c r="C101" s="545">
        <v>0</v>
      </c>
      <c r="D101" s="545">
        <v>77010002</v>
      </c>
      <c r="E101" s="545">
        <v>5635000</v>
      </c>
      <c r="F101" s="545">
        <v>71375002</v>
      </c>
      <c r="G101" s="545">
        <v>230000</v>
      </c>
      <c r="H101" s="546">
        <f t="shared" si="72"/>
        <v>80244.422083999991</v>
      </c>
      <c r="I101" s="546">
        <f t="shared" si="73"/>
        <v>5871.67</v>
      </c>
      <c r="J101" s="546">
        <f t="shared" si="74"/>
        <v>74372.752083999992</v>
      </c>
      <c r="K101" s="546">
        <f t="shared" si="75"/>
        <v>239.66</v>
      </c>
      <c r="O101" s="544"/>
      <c r="P101" s="545"/>
      <c r="Q101" s="546"/>
      <c r="S101" s="544" t="s">
        <v>565</v>
      </c>
      <c r="T101" s="545">
        <v>155654563</v>
      </c>
      <c r="U101" s="545">
        <v>14643264</v>
      </c>
      <c r="V101" s="545">
        <v>47544955</v>
      </c>
      <c r="W101" s="545">
        <v>108109608</v>
      </c>
      <c r="X101" s="546">
        <f t="shared" si="77"/>
        <v>162192.054646</v>
      </c>
      <c r="Y101" s="546">
        <f t="shared" si="78"/>
        <v>15258.281088</v>
      </c>
      <c r="Z101" s="546">
        <f t="shared" si="79"/>
        <v>49541.843110000002</v>
      </c>
      <c r="AA101" s="546">
        <f t="shared" si="80"/>
        <v>112650.211536</v>
      </c>
      <c r="AC101" s="544" t="s">
        <v>882</v>
      </c>
      <c r="AD101" s="545">
        <v>793468000</v>
      </c>
      <c r="AE101" s="546">
        <f t="shared" si="81"/>
        <v>793468</v>
      </c>
      <c r="AG101" s="544" t="s">
        <v>471</v>
      </c>
      <c r="AH101" s="545">
        <v>31888992</v>
      </c>
      <c r="AI101" s="545">
        <v>13899474</v>
      </c>
      <c r="AJ101" s="545">
        <v>31888992</v>
      </c>
      <c r="AK101" s="545">
        <v>0</v>
      </c>
      <c r="AL101" s="545">
        <f t="shared" si="82"/>
        <v>31888.991999999998</v>
      </c>
      <c r="AM101" s="545">
        <f t="shared" si="83"/>
        <v>13899.474</v>
      </c>
      <c r="AN101" s="545">
        <f t="shared" si="84"/>
        <v>31888.991999999998</v>
      </c>
      <c r="AO101" s="545">
        <f t="shared" si="85"/>
        <v>0</v>
      </c>
      <c r="AV101" s="544" t="s">
        <v>387</v>
      </c>
      <c r="AW101" s="545">
        <v>107210276</v>
      </c>
      <c r="AX101" s="545">
        <v>23293032</v>
      </c>
      <c r="AY101" s="545">
        <v>80945611</v>
      </c>
      <c r="AZ101" s="545">
        <v>26264665</v>
      </c>
      <c r="BA101" s="546">
        <f t="shared" si="87"/>
        <v>107210.276</v>
      </c>
      <c r="BB101" s="546">
        <f t="shared" si="88"/>
        <v>23293.031999999999</v>
      </c>
      <c r="BC101" s="546">
        <f t="shared" si="89"/>
        <v>80945.611000000004</v>
      </c>
      <c r="BD101" s="546">
        <f t="shared" si="90"/>
        <v>26264.665000000001</v>
      </c>
      <c r="BK101" s="544" t="s">
        <v>386</v>
      </c>
      <c r="BL101" s="545">
        <v>774938816</v>
      </c>
      <c r="BM101" s="545">
        <v>180696921</v>
      </c>
      <c r="BN101" s="545">
        <v>539196414</v>
      </c>
      <c r="BO101" s="545">
        <v>235742402</v>
      </c>
      <c r="BP101" s="545">
        <f t="shared" si="92"/>
        <v>774938.81599999999</v>
      </c>
      <c r="BQ101" s="545">
        <f t="shared" si="93"/>
        <v>180696.921</v>
      </c>
      <c r="BR101" s="545">
        <f t="shared" si="94"/>
        <v>539196.41399999999</v>
      </c>
      <c r="BS101" s="545">
        <f t="shared" si="95"/>
        <v>235742.402</v>
      </c>
      <c r="BV101" s="544" t="s">
        <v>580</v>
      </c>
      <c r="BW101" s="545">
        <v>2492325</v>
      </c>
      <c r="BX101" s="546">
        <f t="shared" si="96"/>
        <v>2492.3249999999998</v>
      </c>
      <c r="BZ101" s="544" t="s">
        <v>386</v>
      </c>
      <c r="CA101" s="545">
        <v>783652334</v>
      </c>
      <c r="CB101" s="545">
        <v>301019306</v>
      </c>
      <c r="CC101" s="545">
        <v>687283668</v>
      </c>
      <c r="CD101" s="545">
        <v>96368666</v>
      </c>
      <c r="CE101" s="545">
        <f t="shared" si="97"/>
        <v>783652.33400000003</v>
      </c>
      <c r="CF101" s="545">
        <f t="shared" si="98"/>
        <v>301019.30599999998</v>
      </c>
      <c r="CG101" s="545">
        <f t="shared" si="99"/>
        <v>687283.66799999995</v>
      </c>
      <c r="CH101" s="545">
        <f t="shared" si="100"/>
        <v>96368.665999999997</v>
      </c>
      <c r="CK101" s="547" t="s">
        <v>398</v>
      </c>
      <c r="CL101" s="546">
        <v>251599399</v>
      </c>
      <c r="CM101" s="546">
        <f t="shared" si="101"/>
        <v>251599.399</v>
      </c>
      <c r="CP101" s="547" t="s">
        <v>387</v>
      </c>
      <c r="CQ101" s="546">
        <v>117377060</v>
      </c>
      <c r="CR101" s="546">
        <v>48421730</v>
      </c>
      <c r="CS101" s="546">
        <v>84886793</v>
      </c>
      <c r="CT101" s="546">
        <v>32490267</v>
      </c>
      <c r="CU101" s="546">
        <f t="shared" si="131"/>
        <v>117377.06</v>
      </c>
      <c r="CV101" s="546">
        <f t="shared" si="132"/>
        <v>48421.73</v>
      </c>
      <c r="CW101" s="546">
        <f t="shared" si="133"/>
        <v>84886.793000000005</v>
      </c>
      <c r="CX101" s="546">
        <f t="shared" si="134"/>
        <v>32490.267</v>
      </c>
      <c r="CZ101" s="547" t="s">
        <v>502</v>
      </c>
      <c r="DA101" s="546">
        <v>6278341</v>
      </c>
      <c r="DB101" s="546">
        <f t="shared" si="102"/>
        <v>6278.3410000000003</v>
      </c>
      <c r="DE101" s="544" t="s">
        <v>386</v>
      </c>
      <c r="DF101" s="545">
        <v>820208997</v>
      </c>
      <c r="DG101" s="545">
        <v>519463428</v>
      </c>
      <c r="DH101" s="545">
        <v>723035961</v>
      </c>
      <c r="DI101" s="545">
        <v>97173036</v>
      </c>
      <c r="DJ101" s="546">
        <f t="shared" si="103"/>
        <v>820208.99699999997</v>
      </c>
      <c r="DK101" s="546">
        <f t="shared" si="104"/>
        <v>519463.42800000001</v>
      </c>
      <c r="DL101" s="546">
        <f t="shared" si="105"/>
        <v>723035.96100000001</v>
      </c>
      <c r="DM101" s="546">
        <f t="shared" si="106"/>
        <v>97173.035999999993</v>
      </c>
      <c r="DP101" s="544" t="s">
        <v>883</v>
      </c>
      <c r="DQ101" s="545">
        <v>1717703457</v>
      </c>
      <c r="DR101" s="546">
        <f t="shared" si="107"/>
        <v>1717703.4569999999</v>
      </c>
      <c r="DT101" s="544" t="s">
        <v>386</v>
      </c>
      <c r="DU101" s="545">
        <v>830072311</v>
      </c>
      <c r="DV101" s="545">
        <v>549412621</v>
      </c>
      <c r="DW101" s="545">
        <v>733866762</v>
      </c>
      <c r="DX101" s="545">
        <v>96205549</v>
      </c>
      <c r="DY101" s="546">
        <f t="shared" si="108"/>
        <v>830072.31099999999</v>
      </c>
      <c r="DZ101" s="546">
        <f t="shared" si="109"/>
        <v>549412.62100000004</v>
      </c>
      <c r="EA101" s="546">
        <f t="shared" si="110"/>
        <v>733866.76199999999</v>
      </c>
      <c r="EB101" s="546">
        <f t="shared" si="111"/>
        <v>96205.548999999999</v>
      </c>
      <c r="EE101" s="547" t="s">
        <v>581</v>
      </c>
      <c r="EF101" s="546">
        <v>821098</v>
      </c>
      <c r="EG101" s="548">
        <f t="shared" si="112"/>
        <v>821.09799999999996</v>
      </c>
      <c r="EI101" s="547" t="s">
        <v>383</v>
      </c>
      <c r="EJ101" s="546">
        <v>236700000</v>
      </c>
      <c r="EK101" s="546">
        <v>117937888</v>
      </c>
      <c r="EL101" s="546">
        <v>117937888</v>
      </c>
      <c r="EM101" s="548">
        <f t="shared" si="113"/>
        <v>236700</v>
      </c>
      <c r="EN101" s="548">
        <f t="shared" si="114"/>
        <v>117937.88800000001</v>
      </c>
      <c r="EO101" s="548">
        <f t="shared" si="115"/>
        <v>117937.88800000001</v>
      </c>
      <c r="ER101" s="544" t="s">
        <v>582</v>
      </c>
      <c r="ES101" s="545">
        <v>88959485</v>
      </c>
      <c r="ET101" s="546">
        <f t="shared" si="116"/>
        <v>88959.485000000001</v>
      </c>
      <c r="EW101" s="544" t="s">
        <v>385</v>
      </c>
      <c r="EX101" s="545">
        <v>0</v>
      </c>
      <c r="EY101" s="545">
        <v>7378062</v>
      </c>
      <c r="EZ101" s="545">
        <v>7378062</v>
      </c>
      <c r="FA101" s="545">
        <v>7378062</v>
      </c>
      <c r="FB101" s="545">
        <v>0</v>
      </c>
      <c r="FC101" s="546">
        <f t="shared" si="126"/>
        <v>0</v>
      </c>
      <c r="FD101" s="546">
        <f t="shared" si="127"/>
        <v>7378.0619999999999</v>
      </c>
      <c r="FE101" s="546">
        <f t="shared" si="128"/>
        <v>7378.0619999999999</v>
      </c>
      <c r="FF101" s="546">
        <f t="shared" si="129"/>
        <v>7378.0619999999999</v>
      </c>
      <c r="FG101" s="546">
        <f t="shared" si="130"/>
        <v>0</v>
      </c>
      <c r="FJ101" s="547" t="s">
        <v>393</v>
      </c>
      <c r="FK101" s="546">
        <v>16715000</v>
      </c>
      <c r="FL101" s="548">
        <f t="shared" si="122"/>
        <v>16715</v>
      </c>
      <c r="FN101" s="549" t="s">
        <v>384</v>
      </c>
      <c r="FO101" s="550">
        <v>112636824</v>
      </c>
      <c r="FP101" s="550">
        <v>112636824</v>
      </c>
      <c r="FQ101" s="550">
        <v>112636824</v>
      </c>
      <c r="FR101" s="550">
        <f t="shared" si="123"/>
        <v>112636.82399999999</v>
      </c>
      <c r="FS101" s="550">
        <f t="shared" si="124"/>
        <v>112636.82399999999</v>
      </c>
      <c r="FT101" s="550">
        <f t="shared" si="125"/>
        <v>112636.82399999999</v>
      </c>
    </row>
    <row r="102" spans="1:176" ht="15" customHeight="1" x14ac:dyDescent="0.25">
      <c r="A102" s="890" t="s">
        <v>889</v>
      </c>
      <c r="B102" s="544" t="s">
        <v>567</v>
      </c>
      <c r="C102" s="545">
        <v>0</v>
      </c>
      <c r="D102" s="545">
        <v>3000000</v>
      </c>
      <c r="E102" s="545">
        <v>1370095</v>
      </c>
      <c r="F102" s="545">
        <v>1629905</v>
      </c>
      <c r="G102" s="545">
        <v>0</v>
      </c>
      <c r="H102" s="546">
        <f t="shared" si="72"/>
        <v>3126</v>
      </c>
      <c r="I102" s="546">
        <f t="shared" si="73"/>
        <v>1427.6389900000001</v>
      </c>
      <c r="J102" s="546">
        <f t="shared" si="74"/>
        <v>1698.3610100000001</v>
      </c>
      <c r="K102" s="546">
        <f t="shared" si="75"/>
        <v>0</v>
      </c>
      <c r="O102" s="544"/>
      <c r="P102" s="545"/>
      <c r="Q102" s="546"/>
      <c r="S102" s="544" t="s">
        <v>566</v>
      </c>
      <c r="T102" s="545">
        <v>77010001</v>
      </c>
      <c r="U102" s="545">
        <v>4692760</v>
      </c>
      <c r="V102" s="545">
        <v>39687715</v>
      </c>
      <c r="W102" s="545">
        <v>37322286</v>
      </c>
      <c r="X102" s="546">
        <f t="shared" si="77"/>
        <v>80244.421042000002</v>
      </c>
      <c r="Y102" s="546">
        <f t="shared" si="78"/>
        <v>4889.85592</v>
      </c>
      <c r="Z102" s="546">
        <f t="shared" si="79"/>
        <v>41354.599029999998</v>
      </c>
      <c r="AA102" s="546">
        <f t="shared" si="80"/>
        <v>38889.822012000004</v>
      </c>
      <c r="AC102" s="544" t="s">
        <v>883</v>
      </c>
      <c r="AD102" s="545">
        <v>793468000</v>
      </c>
      <c r="AE102" s="546">
        <f t="shared" si="81"/>
        <v>793468</v>
      </c>
      <c r="AG102" s="544" t="s">
        <v>565</v>
      </c>
      <c r="AH102" s="545">
        <v>156265651</v>
      </c>
      <c r="AI102" s="545">
        <v>36052002</v>
      </c>
      <c r="AJ102" s="545">
        <v>71128465</v>
      </c>
      <c r="AK102" s="545">
        <v>85137186</v>
      </c>
      <c r="AL102" s="545">
        <f t="shared" si="82"/>
        <v>156265.65100000001</v>
      </c>
      <c r="AM102" s="545">
        <f t="shared" si="83"/>
        <v>36052.002</v>
      </c>
      <c r="AN102" s="545">
        <f t="shared" si="84"/>
        <v>71128.464999999997</v>
      </c>
      <c r="AO102" s="545">
        <f t="shared" si="85"/>
        <v>85137.186000000002</v>
      </c>
      <c r="AV102" s="544" t="s">
        <v>471</v>
      </c>
      <c r="AW102" s="545">
        <v>31888992</v>
      </c>
      <c r="AX102" s="545">
        <v>14732664</v>
      </c>
      <c r="AY102" s="545">
        <v>31888992</v>
      </c>
      <c r="AZ102" s="545">
        <v>0</v>
      </c>
      <c r="BA102" s="546">
        <f t="shared" si="87"/>
        <v>31888.991999999998</v>
      </c>
      <c r="BB102" s="546">
        <f t="shared" si="88"/>
        <v>14732.664000000001</v>
      </c>
      <c r="BC102" s="546">
        <f t="shared" si="89"/>
        <v>31888.991999999998</v>
      </c>
      <c r="BD102" s="546">
        <f t="shared" si="90"/>
        <v>0</v>
      </c>
      <c r="BK102" s="544" t="s">
        <v>387</v>
      </c>
      <c r="BL102" s="545">
        <v>106079811</v>
      </c>
      <c r="BM102" s="545">
        <v>32618580</v>
      </c>
      <c r="BN102" s="545">
        <v>80945611</v>
      </c>
      <c r="BO102" s="545">
        <v>25134200</v>
      </c>
      <c r="BP102" s="545">
        <f t="shared" si="92"/>
        <v>106079.811</v>
      </c>
      <c r="BQ102" s="545">
        <f t="shared" si="93"/>
        <v>32618.58</v>
      </c>
      <c r="BR102" s="545">
        <f t="shared" si="94"/>
        <v>80945.611000000004</v>
      </c>
      <c r="BS102" s="545">
        <f t="shared" si="95"/>
        <v>25134.2</v>
      </c>
      <c r="BV102" s="544" t="s">
        <v>401</v>
      </c>
      <c r="BW102" s="545">
        <v>2492325</v>
      </c>
      <c r="BX102" s="546">
        <f t="shared" si="96"/>
        <v>2492.3249999999998</v>
      </c>
      <c r="BZ102" s="544" t="s">
        <v>387</v>
      </c>
      <c r="CA102" s="545">
        <v>113332466</v>
      </c>
      <c r="CB102" s="545">
        <v>39724514</v>
      </c>
      <c r="CC102" s="545">
        <v>93186411</v>
      </c>
      <c r="CD102" s="545">
        <v>20146055</v>
      </c>
      <c r="CE102" s="545">
        <f t="shared" si="97"/>
        <v>113332.466</v>
      </c>
      <c r="CF102" s="545">
        <f t="shared" si="98"/>
        <v>39724.514000000003</v>
      </c>
      <c r="CG102" s="545">
        <f t="shared" si="99"/>
        <v>93186.410999999993</v>
      </c>
      <c r="CH102" s="545">
        <f t="shared" si="100"/>
        <v>20146.055</v>
      </c>
      <c r="CK102" s="547" t="s">
        <v>399</v>
      </c>
      <c r="CL102" s="546">
        <v>7313411</v>
      </c>
      <c r="CM102" s="546">
        <f t="shared" si="101"/>
        <v>7313.4110000000001</v>
      </c>
      <c r="CP102" s="547" t="s">
        <v>471</v>
      </c>
      <c r="CQ102" s="546">
        <v>31888992</v>
      </c>
      <c r="CR102" s="546">
        <v>17232234</v>
      </c>
      <c r="CS102" s="546">
        <v>31888992</v>
      </c>
      <c r="CT102" s="546">
        <v>0</v>
      </c>
      <c r="CU102" s="546">
        <f t="shared" si="131"/>
        <v>31888.991999999998</v>
      </c>
      <c r="CV102" s="546">
        <f t="shared" si="132"/>
        <v>17232.234</v>
      </c>
      <c r="CW102" s="546">
        <f t="shared" si="133"/>
        <v>31888.991999999998</v>
      </c>
      <c r="CX102" s="546">
        <f t="shared" si="134"/>
        <v>0</v>
      </c>
      <c r="CZ102" s="547" t="s">
        <v>597</v>
      </c>
      <c r="DA102" s="546">
        <v>57208615</v>
      </c>
      <c r="DB102" s="546">
        <f t="shared" si="102"/>
        <v>57208.614999999998</v>
      </c>
      <c r="DE102" s="544" t="s">
        <v>387</v>
      </c>
      <c r="DF102" s="545">
        <v>124080213</v>
      </c>
      <c r="DG102" s="545">
        <v>54785929</v>
      </c>
      <c r="DH102" s="545">
        <v>93845707</v>
      </c>
      <c r="DI102" s="545">
        <v>30234506</v>
      </c>
      <c r="DJ102" s="546">
        <f t="shared" si="103"/>
        <v>124080.213</v>
      </c>
      <c r="DK102" s="546">
        <f t="shared" si="104"/>
        <v>54785.928999999996</v>
      </c>
      <c r="DL102" s="546">
        <f t="shared" si="105"/>
        <v>93845.706999999995</v>
      </c>
      <c r="DM102" s="546">
        <f t="shared" si="106"/>
        <v>30234.506000000001</v>
      </c>
      <c r="DP102" s="544" t="s">
        <v>402</v>
      </c>
      <c r="DQ102" s="545">
        <v>5421732476</v>
      </c>
      <c r="DR102" s="546">
        <f t="shared" si="107"/>
        <v>5421732.4759999998</v>
      </c>
      <c r="DT102" s="544" t="s">
        <v>387</v>
      </c>
      <c r="DU102" s="545">
        <v>122939283</v>
      </c>
      <c r="DV102" s="545">
        <v>65072972</v>
      </c>
      <c r="DW102" s="545">
        <v>92386441</v>
      </c>
      <c r="DX102" s="545">
        <v>30552842</v>
      </c>
      <c r="DY102" s="546">
        <f t="shared" si="108"/>
        <v>122939.283</v>
      </c>
      <c r="DZ102" s="546">
        <f t="shared" si="109"/>
        <v>65072.972000000002</v>
      </c>
      <c r="EA102" s="546">
        <f t="shared" si="110"/>
        <v>92386.441000000006</v>
      </c>
      <c r="EB102" s="546">
        <f t="shared" si="111"/>
        <v>30552.842000000001</v>
      </c>
      <c r="EE102" s="547" t="s">
        <v>401</v>
      </c>
      <c r="EF102" s="546">
        <v>7197120</v>
      </c>
      <c r="EG102" s="548">
        <f t="shared" si="112"/>
        <v>7197.12</v>
      </c>
      <c r="EI102" s="547" t="s">
        <v>384</v>
      </c>
      <c r="EJ102" s="546">
        <v>228476278</v>
      </c>
      <c r="EK102" s="546">
        <v>110559826</v>
      </c>
      <c r="EL102" s="546">
        <v>110559826</v>
      </c>
      <c r="EM102" s="548">
        <f t="shared" si="113"/>
        <v>228476.27799999999</v>
      </c>
      <c r="EN102" s="548">
        <f t="shared" si="114"/>
        <v>110559.826</v>
      </c>
      <c r="EO102" s="548">
        <f t="shared" si="115"/>
        <v>110559.826</v>
      </c>
      <c r="ER102" s="544" t="s">
        <v>881</v>
      </c>
      <c r="ES102" s="545">
        <v>4109387127</v>
      </c>
      <c r="ET102" s="546">
        <f t="shared" si="116"/>
        <v>4109387.1269999999</v>
      </c>
      <c r="EW102" s="544" t="s">
        <v>386</v>
      </c>
      <c r="EX102" s="545">
        <v>0</v>
      </c>
      <c r="EY102" s="545">
        <v>875528837</v>
      </c>
      <c r="EZ102" s="545">
        <v>767634449</v>
      </c>
      <c r="FA102" s="545">
        <v>856196451</v>
      </c>
      <c r="FB102" s="545">
        <v>19332386</v>
      </c>
      <c r="FC102" s="546">
        <f t="shared" si="126"/>
        <v>0</v>
      </c>
      <c r="FD102" s="546">
        <f t="shared" si="127"/>
        <v>875528.83700000006</v>
      </c>
      <c r="FE102" s="546">
        <f t="shared" si="128"/>
        <v>767634.44900000002</v>
      </c>
      <c r="FF102" s="546">
        <f t="shared" si="129"/>
        <v>856196.451</v>
      </c>
      <c r="FG102" s="546">
        <f t="shared" si="130"/>
        <v>19332.385999999999</v>
      </c>
      <c r="FJ102" s="547" t="s">
        <v>394</v>
      </c>
      <c r="FK102" s="546">
        <v>216207430</v>
      </c>
      <c r="FL102" s="548">
        <f t="shared" si="122"/>
        <v>216207.43</v>
      </c>
      <c r="FN102" s="549" t="s">
        <v>385</v>
      </c>
      <c r="FO102" s="550">
        <v>7378062</v>
      </c>
      <c r="FP102" s="550">
        <v>7378062</v>
      </c>
      <c r="FQ102" s="550">
        <v>7378062</v>
      </c>
      <c r="FR102" s="550">
        <f t="shared" si="123"/>
        <v>7378.0619999999999</v>
      </c>
      <c r="FS102" s="550">
        <f t="shared" si="124"/>
        <v>7378.0619999999999</v>
      </c>
      <c r="FT102" s="550">
        <f t="shared" si="125"/>
        <v>7378.0619999999999</v>
      </c>
    </row>
    <row r="103" spans="1:176" ht="15" customHeight="1" x14ac:dyDescent="0.25">
      <c r="A103" s="890" t="s">
        <v>889</v>
      </c>
      <c r="B103" s="544" t="s">
        <v>388</v>
      </c>
      <c r="C103" s="545">
        <v>0</v>
      </c>
      <c r="D103" s="545">
        <v>28295500</v>
      </c>
      <c r="E103" s="545">
        <v>16009901</v>
      </c>
      <c r="F103" s="545">
        <v>12285599</v>
      </c>
      <c r="G103" s="545">
        <v>11967901</v>
      </c>
      <c r="H103" s="546">
        <f t="shared" si="72"/>
        <v>29483.911</v>
      </c>
      <c r="I103" s="546">
        <f t="shared" si="73"/>
        <v>16682.316842</v>
      </c>
      <c r="J103" s="546">
        <f t="shared" si="74"/>
        <v>12801.594158</v>
      </c>
      <c r="K103" s="546">
        <f t="shared" si="75"/>
        <v>12470.552842000001</v>
      </c>
      <c r="O103" s="544"/>
      <c r="P103" s="545"/>
      <c r="Q103" s="546"/>
      <c r="S103" s="544" t="s">
        <v>567</v>
      </c>
      <c r="T103" s="545">
        <v>3000000</v>
      </c>
      <c r="U103" s="545">
        <v>1501975</v>
      </c>
      <c r="V103" s="545">
        <v>1748822</v>
      </c>
      <c r="W103" s="545">
        <v>1251178</v>
      </c>
      <c r="X103" s="546">
        <f t="shared" si="77"/>
        <v>3126</v>
      </c>
      <c r="Y103" s="546">
        <f t="shared" si="78"/>
        <v>1565.0579499999999</v>
      </c>
      <c r="Z103" s="546">
        <f t="shared" si="79"/>
        <v>1822.272524</v>
      </c>
      <c r="AA103" s="546">
        <f t="shared" si="80"/>
        <v>1303.7274760000003</v>
      </c>
      <c r="AC103" s="544" t="s">
        <v>402</v>
      </c>
      <c r="AD103" s="545">
        <v>7947854937</v>
      </c>
      <c r="AE103" s="546">
        <f t="shared" si="81"/>
        <v>7947854.9369999999</v>
      </c>
      <c r="AG103" s="544" t="s">
        <v>566</v>
      </c>
      <c r="AH103" s="545">
        <v>77010001</v>
      </c>
      <c r="AI103" s="545">
        <v>8400700</v>
      </c>
      <c r="AJ103" s="545">
        <v>44387715</v>
      </c>
      <c r="AK103" s="545">
        <v>32622286</v>
      </c>
      <c r="AL103" s="545">
        <f t="shared" si="82"/>
        <v>77010.001000000004</v>
      </c>
      <c r="AM103" s="545">
        <f t="shared" si="83"/>
        <v>8400.7000000000007</v>
      </c>
      <c r="AN103" s="545">
        <f t="shared" si="84"/>
        <v>44387.714999999997</v>
      </c>
      <c r="AO103" s="545">
        <f t="shared" si="85"/>
        <v>32622.286</v>
      </c>
      <c r="AV103" s="544" t="s">
        <v>565</v>
      </c>
      <c r="AW103" s="545">
        <v>157746828</v>
      </c>
      <c r="AX103" s="545">
        <v>55523636</v>
      </c>
      <c r="AY103" s="545">
        <v>87589429</v>
      </c>
      <c r="AZ103" s="545">
        <v>70157399</v>
      </c>
      <c r="BA103" s="546">
        <f t="shared" si="87"/>
        <v>157746.82800000001</v>
      </c>
      <c r="BB103" s="546">
        <f t="shared" si="88"/>
        <v>55523.635999999999</v>
      </c>
      <c r="BC103" s="546">
        <f t="shared" si="89"/>
        <v>87589.429000000004</v>
      </c>
      <c r="BD103" s="546">
        <f t="shared" si="90"/>
        <v>70157.399000000005</v>
      </c>
      <c r="BK103" s="544" t="s">
        <v>471</v>
      </c>
      <c r="BL103" s="545">
        <v>31888992</v>
      </c>
      <c r="BM103" s="545">
        <v>15565854</v>
      </c>
      <c r="BN103" s="545">
        <v>31888992</v>
      </c>
      <c r="BO103" s="545">
        <v>0</v>
      </c>
      <c r="BP103" s="545">
        <f t="shared" si="92"/>
        <v>31888.991999999998</v>
      </c>
      <c r="BQ103" s="545">
        <f t="shared" si="93"/>
        <v>15565.853999999999</v>
      </c>
      <c r="BR103" s="545">
        <f t="shared" si="94"/>
        <v>31888.991999999998</v>
      </c>
      <c r="BS103" s="545">
        <f t="shared" si="95"/>
        <v>0</v>
      </c>
      <c r="BV103" s="544" t="s">
        <v>767</v>
      </c>
      <c r="BW103" s="545">
        <v>2492325</v>
      </c>
      <c r="BX103" s="546">
        <f t="shared" si="96"/>
        <v>2492.3249999999998</v>
      </c>
      <c r="BZ103" s="544" t="s">
        <v>471</v>
      </c>
      <c r="CA103" s="545">
        <v>31888992</v>
      </c>
      <c r="CB103" s="545">
        <v>16399044</v>
      </c>
      <c r="CC103" s="545">
        <v>31888992</v>
      </c>
      <c r="CD103" s="545">
        <v>0</v>
      </c>
      <c r="CE103" s="545">
        <f t="shared" si="97"/>
        <v>31888.991999999998</v>
      </c>
      <c r="CF103" s="545">
        <f t="shared" si="98"/>
        <v>16399.044000000002</v>
      </c>
      <c r="CG103" s="545">
        <f t="shared" si="99"/>
        <v>31888.991999999998</v>
      </c>
      <c r="CH103" s="545">
        <f t="shared" si="100"/>
        <v>0</v>
      </c>
      <c r="CK103" s="547" t="s">
        <v>502</v>
      </c>
      <c r="CL103" s="546">
        <v>7313411</v>
      </c>
      <c r="CM103" s="546">
        <f t="shared" si="101"/>
        <v>7313.4110000000001</v>
      </c>
      <c r="CP103" s="547" t="s">
        <v>565</v>
      </c>
      <c r="CQ103" s="546">
        <v>161012813</v>
      </c>
      <c r="CR103" s="546">
        <v>104632295</v>
      </c>
      <c r="CS103" s="546">
        <v>130456586</v>
      </c>
      <c r="CT103" s="546">
        <v>30556227</v>
      </c>
      <c r="CU103" s="546">
        <f t="shared" si="131"/>
        <v>161012.81299999999</v>
      </c>
      <c r="CV103" s="546">
        <f t="shared" si="132"/>
        <v>104632.295</v>
      </c>
      <c r="CW103" s="546">
        <f t="shared" si="133"/>
        <v>130456.586</v>
      </c>
      <c r="CX103" s="546">
        <f t="shared" si="134"/>
        <v>30556.226999999999</v>
      </c>
      <c r="CZ103" s="547" t="s">
        <v>598</v>
      </c>
      <c r="DA103" s="546">
        <v>57208615</v>
      </c>
      <c r="DB103" s="546">
        <f t="shared" si="102"/>
        <v>57208.614999999998</v>
      </c>
      <c r="DE103" s="544" t="s">
        <v>471</v>
      </c>
      <c r="DF103" s="545">
        <v>31888992</v>
      </c>
      <c r="DG103" s="545">
        <v>18065424</v>
      </c>
      <c r="DH103" s="545">
        <v>31888992</v>
      </c>
      <c r="DI103" s="545">
        <v>0</v>
      </c>
      <c r="DJ103" s="546">
        <f t="shared" si="103"/>
        <v>31888.991999999998</v>
      </c>
      <c r="DK103" s="546">
        <f t="shared" si="104"/>
        <v>18065.423999999999</v>
      </c>
      <c r="DL103" s="546">
        <f t="shared" si="105"/>
        <v>31888.991999999998</v>
      </c>
      <c r="DM103" s="546">
        <f t="shared" si="106"/>
        <v>0</v>
      </c>
      <c r="DP103" s="544" t="s">
        <v>403</v>
      </c>
      <c r="DQ103" s="545">
        <v>5421732476</v>
      </c>
      <c r="DR103" s="546">
        <f t="shared" si="107"/>
        <v>5421732.4759999998</v>
      </c>
      <c r="DT103" s="544" t="s">
        <v>471</v>
      </c>
      <c r="DU103" s="545">
        <v>31888992</v>
      </c>
      <c r="DV103" s="545">
        <v>18898614</v>
      </c>
      <c r="DW103" s="545">
        <v>31888992</v>
      </c>
      <c r="DX103" s="545">
        <v>0</v>
      </c>
      <c r="DY103" s="546">
        <f t="shared" si="108"/>
        <v>31888.991999999998</v>
      </c>
      <c r="DZ103" s="546">
        <f t="shared" si="109"/>
        <v>18898.614000000001</v>
      </c>
      <c r="EA103" s="546">
        <f t="shared" si="110"/>
        <v>31888.991999999998</v>
      </c>
      <c r="EB103" s="546">
        <f t="shared" si="111"/>
        <v>0</v>
      </c>
      <c r="EE103" s="547" t="s">
        <v>582</v>
      </c>
      <c r="EF103" s="546">
        <v>7197120</v>
      </c>
      <c r="EG103" s="548">
        <f t="shared" si="112"/>
        <v>7197.12</v>
      </c>
      <c r="EI103" s="547" t="s">
        <v>385</v>
      </c>
      <c r="EJ103" s="546">
        <v>8223722</v>
      </c>
      <c r="EK103" s="546">
        <v>7378062</v>
      </c>
      <c r="EL103" s="546">
        <v>7378062</v>
      </c>
      <c r="EM103" s="548">
        <f t="shared" si="113"/>
        <v>8223.7219999999998</v>
      </c>
      <c r="EN103" s="548">
        <f t="shared" si="114"/>
        <v>7378.0619999999999</v>
      </c>
      <c r="EO103" s="548">
        <f t="shared" si="115"/>
        <v>7378.0619999999999</v>
      </c>
      <c r="ER103" s="544" t="s">
        <v>882</v>
      </c>
      <c r="ES103" s="545">
        <v>4109387127</v>
      </c>
      <c r="ET103" s="546">
        <f t="shared" si="116"/>
        <v>4109387.1269999999</v>
      </c>
      <c r="EW103" s="544" t="s">
        <v>387</v>
      </c>
      <c r="EX103" s="545">
        <v>0</v>
      </c>
      <c r="EY103" s="545">
        <v>102856931</v>
      </c>
      <c r="EZ103" s="545">
        <v>80724709</v>
      </c>
      <c r="FA103" s="545">
        <v>101690264</v>
      </c>
      <c r="FB103" s="545">
        <v>1166667</v>
      </c>
      <c r="FC103" s="546">
        <f t="shared" si="126"/>
        <v>0</v>
      </c>
      <c r="FD103" s="546">
        <f t="shared" si="127"/>
        <v>102856.931</v>
      </c>
      <c r="FE103" s="546">
        <f t="shared" si="128"/>
        <v>80724.709000000003</v>
      </c>
      <c r="FF103" s="546">
        <f t="shared" si="129"/>
        <v>101690.264</v>
      </c>
      <c r="FG103" s="546">
        <f t="shared" si="130"/>
        <v>1166.6669999999999</v>
      </c>
      <c r="FJ103" s="547" t="s">
        <v>395</v>
      </c>
      <c r="FK103" s="546">
        <v>7794028</v>
      </c>
      <c r="FL103" s="548">
        <f t="shared" si="122"/>
        <v>7794.0280000000002</v>
      </c>
      <c r="FN103" s="549" t="s">
        <v>386</v>
      </c>
      <c r="FO103" s="550">
        <v>838487308</v>
      </c>
      <c r="FP103" s="550">
        <v>833660789</v>
      </c>
      <c r="FQ103" s="550">
        <v>836325641</v>
      </c>
      <c r="FR103" s="550">
        <f t="shared" si="123"/>
        <v>838487.30799999996</v>
      </c>
      <c r="FS103" s="550">
        <f t="shared" si="124"/>
        <v>833660.78899999999</v>
      </c>
      <c r="FT103" s="550">
        <f t="shared" si="125"/>
        <v>836325.64099999995</v>
      </c>
    </row>
    <row r="104" spans="1:176" ht="15" customHeight="1" x14ac:dyDescent="0.25">
      <c r="A104" s="890" t="s">
        <v>888</v>
      </c>
      <c r="B104" s="544" t="s">
        <v>389</v>
      </c>
      <c r="C104" s="545">
        <v>0</v>
      </c>
      <c r="D104" s="545">
        <v>1017256000</v>
      </c>
      <c r="E104" s="545">
        <v>914382605</v>
      </c>
      <c r="F104" s="545">
        <v>102873395</v>
      </c>
      <c r="G104" s="545">
        <v>10244920</v>
      </c>
      <c r="H104" s="546">
        <f t="shared" si="72"/>
        <v>1059980.7520000001</v>
      </c>
      <c r="I104" s="546">
        <f t="shared" si="73"/>
        <v>952786.67440999998</v>
      </c>
      <c r="J104" s="546">
        <f t="shared" si="74"/>
        <v>107194.07759000002</v>
      </c>
      <c r="K104" s="546">
        <f t="shared" si="75"/>
        <v>10675.20664</v>
      </c>
      <c r="O104" s="544"/>
      <c r="P104" s="545"/>
      <c r="Q104" s="546"/>
      <c r="S104" s="544" t="s">
        <v>388</v>
      </c>
      <c r="T104" s="545">
        <v>34845678</v>
      </c>
      <c r="U104" s="545">
        <v>14288401</v>
      </c>
      <c r="V104" s="545">
        <v>18542221</v>
      </c>
      <c r="W104" s="545">
        <v>16303457</v>
      </c>
      <c r="X104" s="546">
        <f t="shared" si="77"/>
        <v>36309.196476000005</v>
      </c>
      <c r="Y104" s="546">
        <f t="shared" si="78"/>
        <v>14888.513842</v>
      </c>
      <c r="Z104" s="546">
        <f t="shared" si="79"/>
        <v>19320.994282000003</v>
      </c>
      <c r="AA104" s="546">
        <f t="shared" si="80"/>
        <v>16988.202194000001</v>
      </c>
      <c r="AC104" s="544" t="s">
        <v>403</v>
      </c>
      <c r="AD104" s="545">
        <v>7143800375</v>
      </c>
      <c r="AE104" s="546">
        <f t="shared" si="81"/>
        <v>7143800.375</v>
      </c>
      <c r="AG104" s="544" t="s">
        <v>567</v>
      </c>
      <c r="AH104" s="545">
        <v>3000000</v>
      </c>
      <c r="AI104" s="545">
        <v>1597854</v>
      </c>
      <c r="AJ104" s="545">
        <v>1976581</v>
      </c>
      <c r="AK104" s="545">
        <v>1023419</v>
      </c>
      <c r="AL104" s="545">
        <f t="shared" si="82"/>
        <v>3000</v>
      </c>
      <c r="AM104" s="545">
        <f t="shared" si="83"/>
        <v>1597.854</v>
      </c>
      <c r="AN104" s="545">
        <f t="shared" si="84"/>
        <v>1976.5809999999999</v>
      </c>
      <c r="AO104" s="545">
        <f t="shared" si="85"/>
        <v>1023.419</v>
      </c>
      <c r="AV104" s="544" t="s">
        <v>566</v>
      </c>
      <c r="AW104" s="545">
        <v>77010001</v>
      </c>
      <c r="AX104" s="545">
        <v>16783640</v>
      </c>
      <c r="AY104" s="545">
        <v>61272715</v>
      </c>
      <c r="AZ104" s="545">
        <v>15737286</v>
      </c>
      <c r="BA104" s="546">
        <f t="shared" si="87"/>
        <v>77010.001000000004</v>
      </c>
      <c r="BB104" s="546">
        <f t="shared" si="88"/>
        <v>16783.64</v>
      </c>
      <c r="BC104" s="546">
        <f t="shared" si="89"/>
        <v>61272.714999999997</v>
      </c>
      <c r="BD104" s="546">
        <f t="shared" si="90"/>
        <v>15737.286</v>
      </c>
      <c r="BK104" s="544" t="s">
        <v>565</v>
      </c>
      <c r="BL104" s="545">
        <v>158653286</v>
      </c>
      <c r="BM104" s="545">
        <v>71397221</v>
      </c>
      <c r="BN104" s="545">
        <v>100486961</v>
      </c>
      <c r="BO104" s="545">
        <v>58166325</v>
      </c>
      <c r="BP104" s="545">
        <f t="shared" si="92"/>
        <v>158653.28599999999</v>
      </c>
      <c r="BQ104" s="545">
        <f t="shared" si="93"/>
        <v>71397.221000000005</v>
      </c>
      <c r="BR104" s="545">
        <f t="shared" si="94"/>
        <v>100486.961</v>
      </c>
      <c r="BS104" s="545">
        <f t="shared" si="95"/>
        <v>58166.324999999997</v>
      </c>
      <c r="BV104" s="544" t="s">
        <v>402</v>
      </c>
      <c r="BW104" s="545">
        <v>143871560</v>
      </c>
      <c r="BX104" s="546">
        <f t="shared" si="96"/>
        <v>143871.56</v>
      </c>
      <c r="BZ104" s="544" t="s">
        <v>565</v>
      </c>
      <c r="CA104" s="545">
        <v>160178549</v>
      </c>
      <c r="CB104" s="545">
        <v>89066436</v>
      </c>
      <c r="CC104" s="545">
        <v>119124069</v>
      </c>
      <c r="CD104" s="545">
        <v>41054480</v>
      </c>
      <c r="CE104" s="545">
        <f t="shared" si="97"/>
        <v>160178.549</v>
      </c>
      <c r="CF104" s="545">
        <f t="shared" si="98"/>
        <v>89066.436000000002</v>
      </c>
      <c r="CG104" s="545">
        <f t="shared" si="99"/>
        <v>119124.069</v>
      </c>
      <c r="CH104" s="545">
        <f t="shared" si="100"/>
        <v>41054.480000000003</v>
      </c>
      <c r="CK104" s="547" t="s">
        <v>473</v>
      </c>
      <c r="CL104" s="546">
        <v>244285988</v>
      </c>
      <c r="CM104" s="546">
        <f t="shared" si="101"/>
        <v>244285.98800000001</v>
      </c>
      <c r="CP104" s="547" t="s">
        <v>566</v>
      </c>
      <c r="CQ104" s="546">
        <v>77010001</v>
      </c>
      <c r="CR104" s="546">
        <v>35506382</v>
      </c>
      <c r="CS104" s="546">
        <v>66677715</v>
      </c>
      <c r="CT104" s="546">
        <v>10332286</v>
      </c>
      <c r="CU104" s="546">
        <f t="shared" si="131"/>
        <v>77010.001000000004</v>
      </c>
      <c r="CV104" s="546">
        <f t="shared" si="132"/>
        <v>35506.381999999998</v>
      </c>
      <c r="CW104" s="546">
        <f t="shared" si="133"/>
        <v>66677.714999999997</v>
      </c>
      <c r="CX104" s="546">
        <f t="shared" si="134"/>
        <v>10332.286</v>
      </c>
      <c r="CZ104" s="547" t="s">
        <v>852</v>
      </c>
      <c r="DA104" s="546">
        <v>57208615</v>
      </c>
      <c r="DB104" s="546">
        <f t="shared" si="102"/>
        <v>57208.614999999998</v>
      </c>
      <c r="DE104" s="544" t="s">
        <v>565</v>
      </c>
      <c r="DF104" s="545">
        <v>156178839</v>
      </c>
      <c r="DG104" s="545">
        <v>114824662</v>
      </c>
      <c r="DH104" s="545">
        <v>144088540</v>
      </c>
      <c r="DI104" s="545">
        <v>12090299</v>
      </c>
      <c r="DJ104" s="546">
        <f t="shared" si="103"/>
        <v>156178.83900000001</v>
      </c>
      <c r="DK104" s="546">
        <f t="shared" si="104"/>
        <v>114824.662</v>
      </c>
      <c r="DL104" s="546">
        <f t="shared" si="105"/>
        <v>144088.54</v>
      </c>
      <c r="DM104" s="546">
        <f t="shared" si="106"/>
        <v>12090.299000000001</v>
      </c>
      <c r="DP104" s="544"/>
      <c r="DQ104" s="545"/>
      <c r="DR104" s="546"/>
      <c r="DT104" s="544" t="s">
        <v>565</v>
      </c>
      <c r="DU104" s="545">
        <v>157418997</v>
      </c>
      <c r="DV104" s="545">
        <v>123890159</v>
      </c>
      <c r="DW104" s="545">
        <v>143240393</v>
      </c>
      <c r="DX104" s="545">
        <v>14178604</v>
      </c>
      <c r="DY104" s="546">
        <f t="shared" si="108"/>
        <v>157418.997</v>
      </c>
      <c r="DZ104" s="546">
        <f t="shared" si="109"/>
        <v>123890.159</v>
      </c>
      <c r="EA104" s="546">
        <f t="shared" si="110"/>
        <v>143240.39300000001</v>
      </c>
      <c r="EB104" s="546">
        <f t="shared" si="111"/>
        <v>14178.603999999999</v>
      </c>
      <c r="EI104" s="547" t="s">
        <v>386</v>
      </c>
      <c r="EJ104" s="546">
        <v>895524325</v>
      </c>
      <c r="EK104" s="546">
        <v>761591844</v>
      </c>
      <c r="EL104" s="546">
        <v>632678650</v>
      </c>
      <c r="EM104" s="548">
        <f t="shared" si="113"/>
        <v>895524.32499999995</v>
      </c>
      <c r="EN104" s="548">
        <f t="shared" si="114"/>
        <v>761591.84400000004</v>
      </c>
      <c r="EO104" s="548">
        <f t="shared" si="115"/>
        <v>632678.65</v>
      </c>
      <c r="ER104" s="544" t="s">
        <v>883</v>
      </c>
      <c r="ES104" s="545">
        <v>4109387127</v>
      </c>
      <c r="ET104" s="546">
        <f t="shared" si="116"/>
        <v>4109387.1269999999</v>
      </c>
      <c r="EW104" s="544" t="s">
        <v>471</v>
      </c>
      <c r="EX104" s="545">
        <v>0</v>
      </c>
      <c r="EY104" s="545">
        <v>28657984</v>
      </c>
      <c r="EZ104" s="545">
        <v>23657984</v>
      </c>
      <c r="FA104" s="545">
        <v>28657984</v>
      </c>
      <c r="FB104" s="545">
        <v>0</v>
      </c>
      <c r="FC104" s="546">
        <f t="shared" si="126"/>
        <v>0</v>
      </c>
      <c r="FD104" s="546">
        <f t="shared" si="127"/>
        <v>28657.984</v>
      </c>
      <c r="FE104" s="546">
        <f t="shared" si="128"/>
        <v>23657.984</v>
      </c>
      <c r="FF104" s="546">
        <f t="shared" si="129"/>
        <v>28657.984</v>
      </c>
      <c r="FG104" s="546">
        <f t="shared" si="130"/>
        <v>0</v>
      </c>
      <c r="FJ104" s="547" t="s">
        <v>572</v>
      </c>
      <c r="FK104" s="546">
        <v>7814222</v>
      </c>
      <c r="FL104" s="548">
        <f t="shared" si="122"/>
        <v>7814.2219999999998</v>
      </c>
      <c r="FN104" s="549" t="s">
        <v>387</v>
      </c>
      <c r="FO104" s="550">
        <v>91480436</v>
      </c>
      <c r="FP104" s="550">
        <v>90075968</v>
      </c>
      <c r="FQ104" s="550">
        <v>90813769</v>
      </c>
      <c r="FR104" s="550">
        <f t="shared" si="123"/>
        <v>91480.436000000002</v>
      </c>
      <c r="FS104" s="550">
        <f t="shared" si="124"/>
        <v>90075.967999999993</v>
      </c>
      <c r="FT104" s="550">
        <f t="shared" si="125"/>
        <v>90813.769</v>
      </c>
    </row>
    <row r="105" spans="1:176" ht="15" customHeight="1" x14ac:dyDescent="0.25">
      <c r="A105" s="890" t="s">
        <v>889</v>
      </c>
      <c r="B105" s="544" t="s">
        <v>390</v>
      </c>
      <c r="C105" s="545">
        <v>0</v>
      </c>
      <c r="D105" s="545">
        <v>881850000</v>
      </c>
      <c r="E105" s="545">
        <v>807644605</v>
      </c>
      <c r="F105" s="545">
        <v>74205395</v>
      </c>
      <c r="G105" s="545">
        <v>8603661</v>
      </c>
      <c r="H105" s="546">
        <f t="shared" si="72"/>
        <v>918887.70000000007</v>
      </c>
      <c r="I105" s="546">
        <f t="shared" si="73"/>
        <v>841565.67841000005</v>
      </c>
      <c r="J105" s="546">
        <f t="shared" si="74"/>
        <v>77322.021590000004</v>
      </c>
      <c r="K105" s="546">
        <f t="shared" si="75"/>
        <v>8965.0147620000007</v>
      </c>
      <c r="O105" s="544"/>
      <c r="P105" s="545"/>
      <c r="Q105" s="546"/>
      <c r="S105" s="544" t="s">
        <v>389</v>
      </c>
      <c r="T105" s="545">
        <v>1017260000</v>
      </c>
      <c r="U105" s="545">
        <v>65602635</v>
      </c>
      <c r="V105" s="545">
        <v>943048901</v>
      </c>
      <c r="W105" s="545">
        <v>74211099</v>
      </c>
      <c r="X105" s="546">
        <f t="shared" si="77"/>
        <v>1059984.92</v>
      </c>
      <c r="Y105" s="546">
        <f t="shared" si="78"/>
        <v>68357.945670000001</v>
      </c>
      <c r="Z105" s="546">
        <f t="shared" si="79"/>
        <v>982656.95484200004</v>
      </c>
      <c r="AA105" s="546">
        <f t="shared" si="80"/>
        <v>77327.965158000006</v>
      </c>
      <c r="AC105" s="544" t="s">
        <v>404</v>
      </c>
      <c r="AD105" s="545">
        <v>7143800375</v>
      </c>
      <c r="AE105" s="546">
        <f t="shared" si="81"/>
        <v>7143800.375</v>
      </c>
      <c r="AG105" s="544" t="s">
        <v>388</v>
      </c>
      <c r="AH105" s="545">
        <v>214078655</v>
      </c>
      <c r="AI105" s="545">
        <v>18687209</v>
      </c>
      <c r="AJ105" s="545">
        <v>32654568</v>
      </c>
      <c r="AK105" s="545">
        <v>181424087</v>
      </c>
      <c r="AL105" s="545">
        <f t="shared" si="82"/>
        <v>214078.655</v>
      </c>
      <c r="AM105" s="545">
        <f t="shared" si="83"/>
        <v>18687.208999999999</v>
      </c>
      <c r="AN105" s="545">
        <f t="shared" si="84"/>
        <v>32654.567999999999</v>
      </c>
      <c r="AO105" s="545">
        <f t="shared" si="85"/>
        <v>181424.087</v>
      </c>
      <c r="AV105" s="544" t="s">
        <v>567</v>
      </c>
      <c r="AW105" s="545">
        <v>3000000</v>
      </c>
      <c r="AX105" s="545">
        <v>1861615</v>
      </c>
      <c r="AY105" s="545">
        <v>2240342</v>
      </c>
      <c r="AZ105" s="545">
        <v>759658</v>
      </c>
      <c r="BA105" s="546">
        <f t="shared" si="87"/>
        <v>3000</v>
      </c>
      <c r="BB105" s="546">
        <f t="shared" si="88"/>
        <v>1861.615</v>
      </c>
      <c r="BC105" s="546">
        <f t="shared" si="89"/>
        <v>2240.3420000000001</v>
      </c>
      <c r="BD105" s="546">
        <f t="shared" si="90"/>
        <v>759.65800000000002</v>
      </c>
      <c r="BK105" s="544" t="s">
        <v>566</v>
      </c>
      <c r="BL105" s="545">
        <v>77010001</v>
      </c>
      <c r="BM105" s="545">
        <v>23261580</v>
      </c>
      <c r="BN105" s="545">
        <v>66677715</v>
      </c>
      <c r="BO105" s="545">
        <v>10332286</v>
      </c>
      <c r="BP105" s="545">
        <f t="shared" si="92"/>
        <v>77010.001000000004</v>
      </c>
      <c r="BQ105" s="545">
        <f t="shared" si="93"/>
        <v>23261.58</v>
      </c>
      <c r="BR105" s="545">
        <f t="shared" si="94"/>
        <v>66677.714999999997</v>
      </c>
      <c r="BS105" s="545">
        <f t="shared" si="95"/>
        <v>10332.286</v>
      </c>
      <c r="BV105" s="544" t="s">
        <v>403</v>
      </c>
      <c r="BW105" s="545">
        <v>122198149</v>
      </c>
      <c r="BX105" s="546">
        <f t="shared" si="96"/>
        <v>122198.149</v>
      </c>
      <c r="BZ105" s="544" t="s">
        <v>566</v>
      </c>
      <c r="CA105" s="545">
        <v>77010001</v>
      </c>
      <c r="CB105" s="545">
        <v>29939520</v>
      </c>
      <c r="CC105" s="545">
        <v>66677715</v>
      </c>
      <c r="CD105" s="545">
        <v>10332286</v>
      </c>
      <c r="CE105" s="545">
        <f t="shared" si="97"/>
        <v>77010.001000000004</v>
      </c>
      <c r="CF105" s="545">
        <f t="shared" si="98"/>
        <v>29939.52</v>
      </c>
      <c r="CG105" s="545">
        <f t="shared" si="99"/>
        <v>66677.714999999997</v>
      </c>
      <c r="CH105" s="545">
        <f t="shared" si="100"/>
        <v>10332.286</v>
      </c>
      <c r="CK105" s="547" t="s">
        <v>914</v>
      </c>
      <c r="CL105" s="546">
        <v>135527988</v>
      </c>
      <c r="CM105" s="546">
        <f t="shared" si="101"/>
        <v>135527.98800000001</v>
      </c>
      <c r="CP105" s="547" t="s">
        <v>567</v>
      </c>
      <c r="CQ105" s="546">
        <v>2787880</v>
      </c>
      <c r="CR105" s="546">
        <v>2125377</v>
      </c>
      <c r="CS105" s="546">
        <v>2372224</v>
      </c>
      <c r="CT105" s="546">
        <v>415656</v>
      </c>
      <c r="CU105" s="546">
        <f t="shared" si="131"/>
        <v>2787.88</v>
      </c>
      <c r="CV105" s="546">
        <f t="shared" si="132"/>
        <v>2125.377</v>
      </c>
      <c r="CW105" s="546">
        <f t="shared" si="133"/>
        <v>2372.2240000000002</v>
      </c>
      <c r="CX105" s="546">
        <f t="shared" si="134"/>
        <v>415.65600000000001</v>
      </c>
      <c r="CZ105" s="547" t="s">
        <v>580</v>
      </c>
      <c r="DA105" s="546">
        <v>56244420</v>
      </c>
      <c r="DB105" s="546">
        <f t="shared" si="102"/>
        <v>56244.42</v>
      </c>
      <c r="DE105" s="544" t="s">
        <v>566</v>
      </c>
      <c r="DF105" s="545">
        <v>77010001</v>
      </c>
      <c r="DG105" s="545">
        <v>41616382</v>
      </c>
      <c r="DH105" s="545">
        <v>68517715</v>
      </c>
      <c r="DI105" s="545">
        <v>8492286</v>
      </c>
      <c r="DJ105" s="546">
        <f t="shared" si="103"/>
        <v>77010.001000000004</v>
      </c>
      <c r="DK105" s="546">
        <f t="shared" si="104"/>
        <v>41616.381999999998</v>
      </c>
      <c r="DL105" s="546">
        <f t="shared" si="105"/>
        <v>68517.714999999997</v>
      </c>
      <c r="DM105" s="546">
        <f t="shared" si="106"/>
        <v>8492.2860000000001</v>
      </c>
      <c r="DT105" s="544" t="s">
        <v>566</v>
      </c>
      <c r="DU105" s="545">
        <v>77010001</v>
      </c>
      <c r="DV105" s="545">
        <v>48701364</v>
      </c>
      <c r="DW105" s="545">
        <v>76212697</v>
      </c>
      <c r="DX105" s="545">
        <v>797304</v>
      </c>
      <c r="DY105" s="546">
        <f t="shared" si="108"/>
        <v>77010.001000000004</v>
      </c>
      <c r="DZ105" s="546">
        <f t="shared" si="109"/>
        <v>48701.364000000001</v>
      </c>
      <c r="EA105" s="546">
        <f t="shared" si="110"/>
        <v>76212.697</v>
      </c>
      <c r="EB105" s="546">
        <f t="shared" si="111"/>
        <v>797.30399999999997</v>
      </c>
      <c r="EI105" s="547" t="s">
        <v>387</v>
      </c>
      <c r="EJ105" s="546">
        <v>138873013</v>
      </c>
      <c r="EK105" s="546">
        <v>105550441</v>
      </c>
      <c r="EL105" s="546">
        <v>72279232</v>
      </c>
      <c r="EM105" s="548">
        <f t="shared" si="113"/>
        <v>138873.01300000001</v>
      </c>
      <c r="EN105" s="548">
        <f t="shared" si="114"/>
        <v>105550.44100000001</v>
      </c>
      <c r="EO105" s="548">
        <f t="shared" si="115"/>
        <v>72279.232000000004</v>
      </c>
      <c r="EW105" s="544" t="s">
        <v>565</v>
      </c>
      <c r="EX105" s="545">
        <v>0</v>
      </c>
      <c r="EY105" s="545">
        <v>180510606</v>
      </c>
      <c r="EZ105" s="545">
        <v>154879145</v>
      </c>
      <c r="FA105" s="545">
        <v>171146123</v>
      </c>
      <c r="FB105" s="545">
        <v>9364483</v>
      </c>
      <c r="FC105" s="546">
        <f t="shared" si="126"/>
        <v>0</v>
      </c>
      <c r="FD105" s="546">
        <f t="shared" si="127"/>
        <v>180510.606</v>
      </c>
      <c r="FE105" s="546">
        <f t="shared" si="128"/>
        <v>154879.14499999999</v>
      </c>
      <c r="FF105" s="546">
        <f t="shared" si="129"/>
        <v>171146.12299999999</v>
      </c>
      <c r="FG105" s="546">
        <f t="shared" si="130"/>
        <v>9364.4830000000002</v>
      </c>
      <c r="FJ105" s="547" t="s">
        <v>396</v>
      </c>
      <c r="FK105" s="546">
        <v>2716137</v>
      </c>
      <c r="FL105" s="548">
        <f t="shared" si="122"/>
        <v>2716.1370000000002</v>
      </c>
      <c r="FN105" s="549" t="s">
        <v>471</v>
      </c>
      <c r="FO105" s="550">
        <v>25602094</v>
      </c>
      <c r="FP105" s="550">
        <v>25602094</v>
      </c>
      <c r="FQ105" s="550">
        <v>25602094</v>
      </c>
      <c r="FR105" s="550">
        <f t="shared" si="123"/>
        <v>25602.094000000001</v>
      </c>
      <c r="FS105" s="550">
        <f t="shared" si="124"/>
        <v>25602.094000000001</v>
      </c>
      <c r="FT105" s="550">
        <f t="shared" si="125"/>
        <v>25602.094000000001</v>
      </c>
    </row>
    <row r="106" spans="1:176" ht="15" customHeight="1" x14ac:dyDescent="0.25">
      <c r="A106" s="890" t="s">
        <v>889</v>
      </c>
      <c r="B106" s="544" t="s">
        <v>568</v>
      </c>
      <c r="C106" s="545">
        <v>0</v>
      </c>
      <c r="D106" s="545">
        <v>27000000</v>
      </c>
      <c r="E106" s="545">
        <v>27000000</v>
      </c>
      <c r="F106" s="545">
        <v>0</v>
      </c>
      <c r="G106" s="545">
        <v>1641259</v>
      </c>
      <c r="H106" s="546">
        <f t="shared" si="72"/>
        <v>28134</v>
      </c>
      <c r="I106" s="546">
        <f t="shared" si="73"/>
        <v>28134</v>
      </c>
      <c r="J106" s="546">
        <f t="shared" si="74"/>
        <v>0</v>
      </c>
      <c r="K106" s="546">
        <f t="shared" si="75"/>
        <v>1710.1918780000001</v>
      </c>
      <c r="O106" s="544"/>
      <c r="P106" s="545"/>
      <c r="Q106" s="546"/>
      <c r="S106" s="544" t="s">
        <v>390</v>
      </c>
      <c r="T106" s="545">
        <v>881850000</v>
      </c>
      <c r="U106" s="545">
        <v>56655308</v>
      </c>
      <c r="V106" s="545">
        <v>807644605</v>
      </c>
      <c r="W106" s="545">
        <v>74205395</v>
      </c>
      <c r="X106" s="546">
        <f t="shared" si="77"/>
        <v>918887.70000000007</v>
      </c>
      <c r="Y106" s="546">
        <f t="shared" si="78"/>
        <v>59034.830935999998</v>
      </c>
      <c r="Z106" s="546">
        <f t="shared" si="79"/>
        <v>841565.67841000005</v>
      </c>
      <c r="AA106" s="546">
        <f t="shared" si="80"/>
        <v>77322.021590000004</v>
      </c>
      <c r="AC106" s="544" t="s">
        <v>405</v>
      </c>
      <c r="AD106" s="545">
        <v>804151626</v>
      </c>
      <c r="AE106" s="546">
        <f t="shared" si="81"/>
        <v>804151.62600000005</v>
      </c>
      <c r="AG106" s="544" t="s">
        <v>389</v>
      </c>
      <c r="AH106" s="545">
        <v>897617000</v>
      </c>
      <c r="AI106" s="545">
        <v>123623283</v>
      </c>
      <c r="AJ106" s="545">
        <v>823405901</v>
      </c>
      <c r="AK106" s="545">
        <v>74211099</v>
      </c>
      <c r="AL106" s="545">
        <f t="shared" si="82"/>
        <v>897617</v>
      </c>
      <c r="AM106" s="545">
        <f t="shared" si="83"/>
        <v>123623.283</v>
      </c>
      <c r="AN106" s="545">
        <f t="shared" si="84"/>
        <v>823405.90099999995</v>
      </c>
      <c r="AO106" s="545">
        <f t="shared" si="85"/>
        <v>74211.099000000002</v>
      </c>
      <c r="AV106" s="544" t="s">
        <v>388</v>
      </c>
      <c r="AW106" s="545">
        <v>317985195</v>
      </c>
      <c r="AX106" s="545">
        <v>33385718</v>
      </c>
      <c r="AY106" s="545">
        <v>36695868</v>
      </c>
      <c r="AZ106" s="545">
        <v>281289327</v>
      </c>
      <c r="BA106" s="546">
        <f t="shared" si="87"/>
        <v>317985.19500000001</v>
      </c>
      <c r="BB106" s="546">
        <f t="shared" si="88"/>
        <v>33385.718000000001</v>
      </c>
      <c r="BC106" s="546">
        <f t="shared" si="89"/>
        <v>36695.868000000002</v>
      </c>
      <c r="BD106" s="546">
        <f t="shared" si="90"/>
        <v>281289.32699999999</v>
      </c>
      <c r="BK106" s="544" t="s">
        <v>567</v>
      </c>
      <c r="BL106" s="545">
        <v>2787880</v>
      </c>
      <c r="BM106" s="545">
        <v>2125377</v>
      </c>
      <c r="BN106" s="545">
        <v>2372224</v>
      </c>
      <c r="BO106" s="545">
        <v>415656</v>
      </c>
      <c r="BP106" s="545">
        <f t="shared" si="92"/>
        <v>2787.88</v>
      </c>
      <c r="BQ106" s="545">
        <f t="shared" si="93"/>
        <v>2125.377</v>
      </c>
      <c r="BR106" s="545">
        <f t="shared" si="94"/>
        <v>2372.2240000000002</v>
      </c>
      <c r="BS106" s="545">
        <f t="shared" si="95"/>
        <v>415.65600000000001</v>
      </c>
      <c r="BV106" s="544" t="s">
        <v>404</v>
      </c>
      <c r="BW106" s="545">
        <v>122198149</v>
      </c>
      <c r="BX106" s="546">
        <f t="shared" si="96"/>
        <v>122198.149</v>
      </c>
      <c r="BZ106" s="544" t="s">
        <v>567</v>
      </c>
      <c r="CA106" s="545">
        <v>2787880</v>
      </c>
      <c r="CB106" s="545">
        <v>2125377</v>
      </c>
      <c r="CC106" s="545">
        <v>2372224</v>
      </c>
      <c r="CD106" s="545">
        <v>415656</v>
      </c>
      <c r="CE106" s="545">
        <f t="shared" si="97"/>
        <v>2787.88</v>
      </c>
      <c r="CF106" s="545">
        <f t="shared" si="98"/>
        <v>2125.377</v>
      </c>
      <c r="CG106" s="545">
        <f t="shared" si="99"/>
        <v>2372.2240000000002</v>
      </c>
      <c r="CH106" s="545">
        <f t="shared" si="100"/>
        <v>415.65600000000001</v>
      </c>
      <c r="CK106" s="547" t="s">
        <v>579</v>
      </c>
      <c r="CL106" s="546">
        <v>108758000</v>
      </c>
      <c r="CM106" s="546">
        <f t="shared" si="101"/>
        <v>108758</v>
      </c>
      <c r="CP106" s="547" t="s">
        <v>388</v>
      </c>
      <c r="CQ106" s="546">
        <v>422463072</v>
      </c>
      <c r="CR106" s="546">
        <v>262922361</v>
      </c>
      <c r="CS106" s="546">
        <v>379224235</v>
      </c>
      <c r="CT106" s="546">
        <v>43238837</v>
      </c>
      <c r="CU106" s="546">
        <f t="shared" si="131"/>
        <v>422463.07199999999</v>
      </c>
      <c r="CV106" s="546">
        <f t="shared" si="132"/>
        <v>262922.36099999998</v>
      </c>
      <c r="CW106" s="546">
        <f t="shared" si="133"/>
        <v>379224.23499999999</v>
      </c>
      <c r="CX106" s="546">
        <f t="shared" si="134"/>
        <v>43238.837</v>
      </c>
      <c r="CZ106" s="547" t="s">
        <v>831</v>
      </c>
      <c r="DA106" s="546">
        <v>1840930</v>
      </c>
      <c r="DB106" s="546">
        <f t="shared" si="102"/>
        <v>1840.93</v>
      </c>
      <c r="DE106" s="544" t="s">
        <v>567</v>
      </c>
      <c r="DF106" s="545">
        <v>2787880</v>
      </c>
      <c r="DG106" s="545">
        <v>2125377</v>
      </c>
      <c r="DH106" s="545">
        <v>2504103</v>
      </c>
      <c r="DI106" s="545">
        <v>283777</v>
      </c>
      <c r="DJ106" s="546">
        <f t="shared" si="103"/>
        <v>2787.88</v>
      </c>
      <c r="DK106" s="546">
        <f t="shared" si="104"/>
        <v>2125.377</v>
      </c>
      <c r="DL106" s="546">
        <f t="shared" si="105"/>
        <v>2504.1030000000001</v>
      </c>
      <c r="DM106" s="546">
        <f t="shared" si="106"/>
        <v>283.77699999999999</v>
      </c>
      <c r="DT106" s="544" t="s">
        <v>567</v>
      </c>
      <c r="DU106" s="545">
        <v>2787880</v>
      </c>
      <c r="DV106" s="545">
        <v>2257258</v>
      </c>
      <c r="DW106" s="545">
        <v>2504104</v>
      </c>
      <c r="DX106" s="545">
        <v>283776</v>
      </c>
      <c r="DY106" s="546">
        <f t="shared" si="108"/>
        <v>2787.88</v>
      </c>
      <c r="DZ106" s="546">
        <f t="shared" si="109"/>
        <v>2257.2579999999998</v>
      </c>
      <c r="EA106" s="546">
        <f t="shared" si="110"/>
        <v>2504.1039999999998</v>
      </c>
      <c r="EB106" s="546">
        <f t="shared" si="111"/>
        <v>283.77600000000001</v>
      </c>
      <c r="EI106" s="547" t="s">
        <v>471</v>
      </c>
      <c r="EJ106" s="546">
        <v>31888992</v>
      </c>
      <c r="EK106" s="546">
        <v>31888992</v>
      </c>
      <c r="EL106" s="546">
        <v>19731804</v>
      </c>
      <c r="EM106" s="548">
        <f t="shared" si="113"/>
        <v>31888.991999999998</v>
      </c>
      <c r="EN106" s="548">
        <f t="shared" si="114"/>
        <v>31888.991999999998</v>
      </c>
      <c r="EO106" s="548">
        <f t="shared" si="115"/>
        <v>19731.804</v>
      </c>
      <c r="EW106" s="544" t="s">
        <v>566</v>
      </c>
      <c r="EX106" s="545">
        <v>0</v>
      </c>
      <c r="EY106" s="545">
        <v>76903828</v>
      </c>
      <c r="EZ106" s="545">
        <v>62704690</v>
      </c>
      <c r="FA106" s="545">
        <v>76903828</v>
      </c>
      <c r="FB106" s="545">
        <v>0</v>
      </c>
      <c r="FC106" s="546">
        <f t="shared" si="126"/>
        <v>0</v>
      </c>
      <c r="FD106" s="546">
        <f t="shared" si="127"/>
        <v>76903.827999999994</v>
      </c>
      <c r="FE106" s="546">
        <f t="shared" si="128"/>
        <v>62704.69</v>
      </c>
      <c r="FF106" s="546">
        <f t="shared" si="129"/>
        <v>76903.827999999994</v>
      </c>
      <c r="FG106" s="546">
        <f t="shared" si="130"/>
        <v>0</v>
      </c>
      <c r="FJ106" s="547" t="s">
        <v>397</v>
      </c>
      <c r="FK106" s="546">
        <v>5098085</v>
      </c>
      <c r="FL106" s="548">
        <f t="shared" si="122"/>
        <v>5098.085</v>
      </c>
      <c r="FN106" s="549" t="s">
        <v>828</v>
      </c>
      <c r="FO106" s="550">
        <v>100000</v>
      </c>
      <c r="FP106" s="550">
        <v>100000</v>
      </c>
      <c r="FQ106" s="550">
        <v>100000</v>
      </c>
      <c r="FR106" s="550">
        <f t="shared" si="123"/>
        <v>100</v>
      </c>
      <c r="FS106" s="550">
        <f t="shared" si="124"/>
        <v>100</v>
      </c>
      <c r="FT106" s="550">
        <f t="shared" si="125"/>
        <v>100</v>
      </c>
    </row>
    <row r="107" spans="1:176" ht="15" customHeight="1" x14ac:dyDescent="0.25">
      <c r="A107" s="890" t="s">
        <v>889</v>
      </c>
      <c r="B107" s="544" t="s">
        <v>569</v>
      </c>
      <c r="C107" s="545">
        <v>0</v>
      </c>
      <c r="D107" s="545">
        <v>79738000</v>
      </c>
      <c r="E107" s="545">
        <v>79738000</v>
      </c>
      <c r="F107" s="545">
        <v>0</v>
      </c>
      <c r="G107" s="545">
        <v>0</v>
      </c>
      <c r="H107" s="546">
        <f t="shared" si="72"/>
        <v>83086.995999999999</v>
      </c>
      <c r="I107" s="546">
        <f t="shared" si="73"/>
        <v>83086.995999999999</v>
      </c>
      <c r="J107" s="546">
        <f t="shared" si="74"/>
        <v>0</v>
      </c>
      <c r="K107" s="546">
        <f t="shared" si="75"/>
        <v>0</v>
      </c>
      <c r="S107" s="544" t="s">
        <v>568</v>
      </c>
      <c r="T107" s="545">
        <v>27000000</v>
      </c>
      <c r="U107" s="545">
        <v>1641259</v>
      </c>
      <c r="V107" s="545">
        <v>27000000</v>
      </c>
      <c r="W107" s="545">
        <v>0</v>
      </c>
      <c r="X107" s="546">
        <f t="shared" si="77"/>
        <v>28134</v>
      </c>
      <c r="Y107" s="546">
        <f t="shared" si="78"/>
        <v>1710.1918780000001</v>
      </c>
      <c r="Z107" s="546">
        <f t="shared" si="79"/>
        <v>28134</v>
      </c>
      <c r="AA107" s="546">
        <f t="shared" si="80"/>
        <v>0</v>
      </c>
      <c r="AC107" s="544" t="s">
        <v>406</v>
      </c>
      <c r="AD107" s="545">
        <v>804151626</v>
      </c>
      <c r="AE107" s="546">
        <f t="shared" si="81"/>
        <v>804151.62600000005</v>
      </c>
      <c r="AG107" s="544" t="s">
        <v>390</v>
      </c>
      <c r="AH107" s="545">
        <v>761850000</v>
      </c>
      <c r="AI107" s="545">
        <v>107441354</v>
      </c>
      <c r="AJ107" s="545">
        <v>687644605</v>
      </c>
      <c r="AK107" s="545">
        <v>74205395</v>
      </c>
      <c r="AL107" s="545">
        <f t="shared" si="82"/>
        <v>761850</v>
      </c>
      <c r="AM107" s="545">
        <f t="shared" si="83"/>
        <v>107441.35400000001</v>
      </c>
      <c r="AN107" s="545">
        <f t="shared" si="84"/>
        <v>687644.60499999998</v>
      </c>
      <c r="AO107" s="545">
        <f t="shared" si="85"/>
        <v>74205.395000000004</v>
      </c>
      <c r="AV107" s="544" t="s">
        <v>389</v>
      </c>
      <c r="AW107" s="545">
        <v>764684901</v>
      </c>
      <c r="AX107" s="545">
        <v>181486970</v>
      </c>
      <c r="AY107" s="545">
        <v>698535377</v>
      </c>
      <c r="AZ107" s="545">
        <v>66149524</v>
      </c>
      <c r="BA107" s="546">
        <f t="shared" si="87"/>
        <v>764684.90099999995</v>
      </c>
      <c r="BB107" s="546">
        <f t="shared" si="88"/>
        <v>181486.97</v>
      </c>
      <c r="BC107" s="546">
        <f t="shared" si="89"/>
        <v>698535.37699999998</v>
      </c>
      <c r="BD107" s="546">
        <f t="shared" si="90"/>
        <v>66149.524000000005</v>
      </c>
      <c r="BK107" s="544" t="s">
        <v>388</v>
      </c>
      <c r="BL107" s="545">
        <v>398518846</v>
      </c>
      <c r="BM107" s="545">
        <v>35728309</v>
      </c>
      <c r="BN107" s="545">
        <v>256824911</v>
      </c>
      <c r="BO107" s="545">
        <v>141693935</v>
      </c>
      <c r="BP107" s="545">
        <f t="shared" si="92"/>
        <v>398518.84600000002</v>
      </c>
      <c r="BQ107" s="545">
        <f t="shared" si="93"/>
        <v>35728.309000000001</v>
      </c>
      <c r="BR107" s="545">
        <f t="shared" si="94"/>
        <v>256824.91099999999</v>
      </c>
      <c r="BS107" s="545">
        <f t="shared" si="95"/>
        <v>141693.935</v>
      </c>
      <c r="BV107" s="544" t="s">
        <v>405</v>
      </c>
      <c r="BW107" s="545">
        <v>21673411</v>
      </c>
      <c r="BX107" s="546">
        <f t="shared" si="96"/>
        <v>21673.411</v>
      </c>
      <c r="BZ107" s="544" t="s">
        <v>388</v>
      </c>
      <c r="CA107" s="545">
        <v>398454446</v>
      </c>
      <c r="CB107" s="545">
        <v>123764415</v>
      </c>
      <c r="CC107" s="545">
        <v>374034257</v>
      </c>
      <c r="CD107" s="545">
        <v>24420189</v>
      </c>
      <c r="CE107" s="545">
        <f t="shared" si="97"/>
        <v>398454.446</v>
      </c>
      <c r="CF107" s="545">
        <f t="shared" si="98"/>
        <v>123764.41499999999</v>
      </c>
      <c r="CG107" s="545">
        <f t="shared" si="99"/>
        <v>374034.25699999998</v>
      </c>
      <c r="CH107" s="545">
        <f t="shared" si="100"/>
        <v>24420.188999999998</v>
      </c>
      <c r="CK107" s="547" t="s">
        <v>597</v>
      </c>
      <c r="CL107" s="546">
        <v>21327265</v>
      </c>
      <c r="CM107" s="546">
        <f t="shared" si="101"/>
        <v>21327.264999999999</v>
      </c>
      <c r="CP107" s="547" t="s">
        <v>389</v>
      </c>
      <c r="CQ107" s="546">
        <v>1062485808</v>
      </c>
      <c r="CR107" s="546">
        <v>461949332</v>
      </c>
      <c r="CS107" s="546">
        <v>1025090734</v>
      </c>
      <c r="CT107" s="546">
        <v>37395074</v>
      </c>
      <c r="CU107" s="546">
        <f t="shared" si="131"/>
        <v>1062485.808</v>
      </c>
      <c r="CV107" s="546">
        <f t="shared" si="132"/>
        <v>461949.33199999999</v>
      </c>
      <c r="CW107" s="546">
        <f t="shared" si="133"/>
        <v>1025090.7340000001</v>
      </c>
      <c r="CX107" s="546">
        <f t="shared" si="134"/>
        <v>37395.074000000001</v>
      </c>
      <c r="CZ107" s="547" t="s">
        <v>400</v>
      </c>
      <c r="DA107" s="546">
        <v>35499999</v>
      </c>
      <c r="DB107" s="546">
        <f t="shared" si="102"/>
        <v>35499.999000000003</v>
      </c>
      <c r="DE107" s="544" t="s">
        <v>388</v>
      </c>
      <c r="DF107" s="545">
        <v>428263072</v>
      </c>
      <c r="DG107" s="545">
        <v>288045654</v>
      </c>
      <c r="DH107" s="545">
        <v>382190904</v>
      </c>
      <c r="DI107" s="545">
        <v>46072168</v>
      </c>
      <c r="DJ107" s="546">
        <f t="shared" si="103"/>
        <v>428263.07199999999</v>
      </c>
      <c r="DK107" s="546">
        <f t="shared" si="104"/>
        <v>288045.65399999998</v>
      </c>
      <c r="DL107" s="546">
        <f t="shared" si="105"/>
        <v>382190.90399999998</v>
      </c>
      <c r="DM107" s="546">
        <f t="shared" si="106"/>
        <v>46072.167999999998</v>
      </c>
      <c r="DT107" s="544" t="s">
        <v>388</v>
      </c>
      <c r="DU107" s="545">
        <v>438027158</v>
      </c>
      <c r="DV107" s="545">
        <v>290592254</v>
      </c>
      <c r="DW107" s="545">
        <v>387634135</v>
      </c>
      <c r="DX107" s="545">
        <v>50393023</v>
      </c>
      <c r="DY107" s="546">
        <f t="shared" si="108"/>
        <v>438027.158</v>
      </c>
      <c r="DZ107" s="546">
        <f t="shared" si="109"/>
        <v>290592.25400000002</v>
      </c>
      <c r="EA107" s="546">
        <f t="shared" si="110"/>
        <v>387634.13500000001</v>
      </c>
      <c r="EB107" s="546">
        <f t="shared" si="111"/>
        <v>50393.023000000001</v>
      </c>
      <c r="EI107" s="547" t="s">
        <v>565</v>
      </c>
      <c r="EJ107" s="546">
        <v>154437281</v>
      </c>
      <c r="EK107" s="546">
        <v>152927803</v>
      </c>
      <c r="EL107" s="546">
        <v>138756506</v>
      </c>
      <c r="EM107" s="548">
        <f t="shared" si="113"/>
        <v>154437.28099999999</v>
      </c>
      <c r="EN107" s="548">
        <f t="shared" si="114"/>
        <v>152927.80300000001</v>
      </c>
      <c r="EO107" s="548">
        <f t="shared" si="115"/>
        <v>138756.50599999999</v>
      </c>
      <c r="EW107" s="544" t="s">
        <v>567</v>
      </c>
      <c r="EX107" s="545">
        <v>0</v>
      </c>
      <c r="EY107" s="545">
        <v>2504104</v>
      </c>
      <c r="EZ107" s="545">
        <v>2257258</v>
      </c>
      <c r="FA107" s="545">
        <v>2504104</v>
      </c>
      <c r="FB107" s="545">
        <v>0</v>
      </c>
      <c r="FC107" s="546">
        <f t="shared" si="126"/>
        <v>0</v>
      </c>
      <c r="FD107" s="546">
        <f t="shared" si="127"/>
        <v>2504.1039999999998</v>
      </c>
      <c r="FE107" s="546">
        <f t="shared" si="128"/>
        <v>2257.2579999999998</v>
      </c>
      <c r="FF107" s="546">
        <f t="shared" si="129"/>
        <v>2504.1039999999998</v>
      </c>
      <c r="FG107" s="546">
        <f t="shared" si="130"/>
        <v>0</v>
      </c>
      <c r="FJ107" s="547" t="s">
        <v>574</v>
      </c>
      <c r="FK107" s="546">
        <v>380154780</v>
      </c>
      <c r="FL107" s="548">
        <f t="shared" si="122"/>
        <v>380154.78</v>
      </c>
      <c r="FN107" s="549" t="s">
        <v>565</v>
      </c>
      <c r="FO107" s="550">
        <v>171384520</v>
      </c>
      <c r="FP107" s="550">
        <v>169838269</v>
      </c>
      <c r="FQ107" s="550">
        <v>171384520</v>
      </c>
      <c r="FR107" s="550">
        <f t="shared" si="123"/>
        <v>171384.52</v>
      </c>
      <c r="FS107" s="550">
        <f t="shared" si="124"/>
        <v>169838.269</v>
      </c>
      <c r="FT107" s="550">
        <f t="shared" si="125"/>
        <v>171384.52</v>
      </c>
    </row>
    <row r="108" spans="1:176" ht="15" customHeight="1" x14ac:dyDescent="0.25">
      <c r="A108" s="890" t="s">
        <v>889</v>
      </c>
      <c r="B108" s="544" t="s">
        <v>472</v>
      </c>
      <c r="C108" s="545">
        <v>0</v>
      </c>
      <c r="D108" s="545">
        <v>28668000</v>
      </c>
      <c r="E108" s="545">
        <v>0</v>
      </c>
      <c r="F108" s="545">
        <v>28668000</v>
      </c>
      <c r="G108" s="545">
        <v>0</v>
      </c>
      <c r="H108" s="546">
        <f t="shared" si="72"/>
        <v>29872.056</v>
      </c>
      <c r="I108" s="546">
        <f t="shared" si="73"/>
        <v>0</v>
      </c>
      <c r="J108" s="546">
        <f t="shared" si="74"/>
        <v>29872.056</v>
      </c>
      <c r="K108" s="546">
        <f t="shared" si="75"/>
        <v>0</v>
      </c>
      <c r="S108" s="544" t="s">
        <v>569</v>
      </c>
      <c r="T108" s="545">
        <v>79738000</v>
      </c>
      <c r="U108" s="545">
        <v>7306068</v>
      </c>
      <c r="V108" s="545">
        <v>79738000</v>
      </c>
      <c r="W108" s="545">
        <v>0</v>
      </c>
      <c r="X108" s="546">
        <f t="shared" si="77"/>
        <v>83086.995999999999</v>
      </c>
      <c r="Y108" s="546">
        <f t="shared" si="78"/>
        <v>7612.9228560000001</v>
      </c>
      <c r="Z108" s="546">
        <f t="shared" si="79"/>
        <v>83086.995999999999</v>
      </c>
      <c r="AA108" s="546">
        <f t="shared" si="80"/>
        <v>0</v>
      </c>
      <c r="AC108" s="544" t="s">
        <v>583</v>
      </c>
      <c r="AD108" s="545">
        <v>804151626</v>
      </c>
      <c r="AE108" s="546">
        <f t="shared" si="81"/>
        <v>804151.62600000005</v>
      </c>
      <c r="AG108" s="544" t="s">
        <v>568</v>
      </c>
      <c r="AH108" s="545">
        <v>27000000</v>
      </c>
      <c r="AI108" s="545">
        <v>3741145</v>
      </c>
      <c r="AJ108" s="545">
        <v>27000000</v>
      </c>
      <c r="AK108" s="545">
        <v>0</v>
      </c>
      <c r="AL108" s="545">
        <f t="shared" si="82"/>
        <v>27000</v>
      </c>
      <c r="AM108" s="545">
        <f t="shared" si="83"/>
        <v>3741.145</v>
      </c>
      <c r="AN108" s="545">
        <f t="shared" si="84"/>
        <v>27000</v>
      </c>
      <c r="AO108" s="545">
        <f t="shared" si="85"/>
        <v>0</v>
      </c>
      <c r="AV108" s="544" t="s">
        <v>390</v>
      </c>
      <c r="AW108" s="545">
        <v>628917901</v>
      </c>
      <c r="AX108" s="545">
        <v>141221644</v>
      </c>
      <c r="AY108" s="545">
        <v>562774081</v>
      </c>
      <c r="AZ108" s="545">
        <v>66143820</v>
      </c>
      <c r="BA108" s="546">
        <f t="shared" si="87"/>
        <v>628917.90099999995</v>
      </c>
      <c r="BB108" s="546">
        <f t="shared" si="88"/>
        <v>141221.644</v>
      </c>
      <c r="BC108" s="546">
        <f t="shared" si="89"/>
        <v>562774.08100000001</v>
      </c>
      <c r="BD108" s="546">
        <f t="shared" si="90"/>
        <v>66143.820000000007</v>
      </c>
      <c r="BK108" s="544" t="s">
        <v>389</v>
      </c>
      <c r="BL108" s="545">
        <v>1024141451</v>
      </c>
      <c r="BM108" s="545">
        <v>307304906</v>
      </c>
      <c r="BN108" s="545">
        <v>958335377</v>
      </c>
      <c r="BO108" s="545">
        <v>65806074</v>
      </c>
      <c r="BP108" s="545">
        <f t="shared" si="92"/>
        <v>1024141.451</v>
      </c>
      <c r="BQ108" s="545">
        <f t="shared" si="93"/>
        <v>307304.90600000002</v>
      </c>
      <c r="BR108" s="545">
        <f t="shared" si="94"/>
        <v>958335.37699999998</v>
      </c>
      <c r="BS108" s="545">
        <f t="shared" si="95"/>
        <v>65806.073999999993</v>
      </c>
      <c r="BV108" s="544" t="s">
        <v>406</v>
      </c>
      <c r="BW108" s="545">
        <v>21673411</v>
      </c>
      <c r="BX108" s="546">
        <f t="shared" si="96"/>
        <v>21673.411</v>
      </c>
      <c r="BZ108" s="544" t="s">
        <v>389</v>
      </c>
      <c r="CA108" s="545">
        <v>1025078645</v>
      </c>
      <c r="CB108" s="545">
        <v>338120250</v>
      </c>
      <c r="CC108" s="545">
        <v>959272571</v>
      </c>
      <c r="CD108" s="545">
        <v>65806074</v>
      </c>
      <c r="CE108" s="545">
        <f t="shared" si="97"/>
        <v>1025078.645</v>
      </c>
      <c r="CF108" s="545">
        <f t="shared" si="98"/>
        <v>338120.25</v>
      </c>
      <c r="CG108" s="545">
        <f t="shared" si="99"/>
        <v>959272.571</v>
      </c>
      <c r="CH108" s="545">
        <f t="shared" si="100"/>
        <v>65806.073999999993</v>
      </c>
      <c r="CK108" s="547" t="s">
        <v>598</v>
      </c>
      <c r="CL108" s="546">
        <v>21327265</v>
      </c>
      <c r="CM108" s="546">
        <f t="shared" si="101"/>
        <v>21327.264999999999</v>
      </c>
      <c r="CP108" s="547" t="s">
        <v>390</v>
      </c>
      <c r="CQ108" s="546">
        <v>889318808</v>
      </c>
      <c r="CR108" s="546">
        <v>378287031</v>
      </c>
      <c r="CS108" s="546">
        <v>851929438</v>
      </c>
      <c r="CT108" s="546">
        <v>37389370</v>
      </c>
      <c r="CU108" s="546">
        <f t="shared" si="131"/>
        <v>889318.80799999996</v>
      </c>
      <c r="CV108" s="546">
        <f t="shared" si="132"/>
        <v>378287.03100000002</v>
      </c>
      <c r="CW108" s="546">
        <f t="shared" si="133"/>
        <v>851929.43799999997</v>
      </c>
      <c r="CX108" s="546">
        <f t="shared" si="134"/>
        <v>37389.370000000003</v>
      </c>
      <c r="CZ108" s="547" t="s">
        <v>936</v>
      </c>
      <c r="DA108" s="546">
        <v>35499999</v>
      </c>
      <c r="DB108" s="546">
        <f t="shared" si="102"/>
        <v>35499.999000000003</v>
      </c>
      <c r="DE108" s="544" t="s">
        <v>389</v>
      </c>
      <c r="DF108" s="545">
        <v>1062485808</v>
      </c>
      <c r="DG108" s="545">
        <v>503831669</v>
      </c>
      <c r="DH108" s="545">
        <v>1028290734</v>
      </c>
      <c r="DI108" s="545">
        <v>34195074</v>
      </c>
      <c r="DJ108" s="546">
        <f t="shared" si="103"/>
        <v>1062485.808</v>
      </c>
      <c r="DK108" s="546">
        <f t="shared" si="104"/>
        <v>503831.66899999999</v>
      </c>
      <c r="DL108" s="546">
        <f t="shared" si="105"/>
        <v>1028290.7340000001</v>
      </c>
      <c r="DM108" s="546">
        <f t="shared" si="106"/>
        <v>34195.074000000001</v>
      </c>
      <c r="DT108" s="544" t="s">
        <v>389</v>
      </c>
      <c r="DU108" s="545">
        <v>1062485808</v>
      </c>
      <c r="DV108" s="545">
        <v>771514348</v>
      </c>
      <c r="DW108" s="545">
        <v>1028300734</v>
      </c>
      <c r="DX108" s="545">
        <v>34185074</v>
      </c>
      <c r="DY108" s="546">
        <f t="shared" si="108"/>
        <v>1062485.808</v>
      </c>
      <c r="DZ108" s="546">
        <f t="shared" si="109"/>
        <v>771514.348</v>
      </c>
      <c r="EA108" s="546">
        <f t="shared" si="110"/>
        <v>1028300.7340000001</v>
      </c>
      <c r="EB108" s="546">
        <f t="shared" si="111"/>
        <v>34185.074000000001</v>
      </c>
      <c r="EI108" s="547" t="s">
        <v>566</v>
      </c>
      <c r="EJ108" s="546">
        <v>77010001</v>
      </c>
      <c r="EK108" s="546">
        <v>76903828</v>
      </c>
      <c r="EL108" s="546">
        <v>56119695</v>
      </c>
      <c r="EM108" s="548">
        <f t="shared" si="113"/>
        <v>77010.001000000004</v>
      </c>
      <c r="EN108" s="548">
        <f t="shared" si="114"/>
        <v>76903.827999999994</v>
      </c>
      <c r="EO108" s="548">
        <f t="shared" si="115"/>
        <v>56119.695</v>
      </c>
      <c r="EW108" s="544" t="s">
        <v>388</v>
      </c>
      <c r="EX108" s="545">
        <v>0</v>
      </c>
      <c r="EY108" s="545">
        <v>484095384</v>
      </c>
      <c r="EZ108" s="545">
        <v>443410663</v>
      </c>
      <c r="FA108" s="545">
        <v>475294148</v>
      </c>
      <c r="FB108" s="545">
        <v>8801236</v>
      </c>
      <c r="FC108" s="546">
        <f t="shared" ref="FC108:FC131" si="135">+EX108/$FF$1*$FG$1</f>
        <v>0</v>
      </c>
      <c r="FD108" s="546">
        <f t="shared" ref="FD108:FD131" si="136">+EY108/$FF$1*$FG$1</f>
        <v>484095.38400000002</v>
      </c>
      <c r="FE108" s="546">
        <f t="shared" ref="FE108:FE131" si="137">+EZ108/$FF$1*$FG$1</f>
        <v>443410.663</v>
      </c>
      <c r="FF108" s="546">
        <f t="shared" ref="FF108:FF131" si="138">+FA108/$FF$1*$FG$1</f>
        <v>475294.14799999999</v>
      </c>
      <c r="FG108" s="546">
        <f t="shared" ref="FG108:FG131" si="139">+FB108/$FF$1*$FG$1</f>
        <v>8801.2360000000008</v>
      </c>
      <c r="FJ108" s="547" t="s">
        <v>575</v>
      </c>
      <c r="FK108" s="546">
        <v>380154780</v>
      </c>
      <c r="FL108" s="548">
        <f t="shared" si="122"/>
        <v>380154.78</v>
      </c>
      <c r="FN108" s="549" t="s">
        <v>566</v>
      </c>
      <c r="FO108" s="550">
        <v>75160490</v>
      </c>
      <c r="FP108" s="550">
        <v>73665490</v>
      </c>
      <c r="FQ108" s="550">
        <v>73665490</v>
      </c>
      <c r="FR108" s="550">
        <f t="shared" si="123"/>
        <v>75160.490000000005</v>
      </c>
      <c r="FS108" s="550">
        <f t="shared" si="124"/>
        <v>73665.490000000005</v>
      </c>
      <c r="FT108" s="550">
        <f t="shared" si="125"/>
        <v>73665.490000000005</v>
      </c>
    </row>
    <row r="109" spans="1:176" ht="15" customHeight="1" x14ac:dyDescent="0.25">
      <c r="A109" s="890" t="s">
        <v>888</v>
      </c>
      <c r="B109" s="544" t="s">
        <v>570</v>
      </c>
      <c r="C109" s="545">
        <v>0</v>
      </c>
      <c r="D109" s="545">
        <v>19009564</v>
      </c>
      <c r="E109" s="545">
        <v>9564</v>
      </c>
      <c r="F109" s="545">
        <v>19000000</v>
      </c>
      <c r="G109" s="545">
        <v>9564</v>
      </c>
      <c r="H109" s="546">
        <f t="shared" si="72"/>
        <v>19807.965688</v>
      </c>
      <c r="I109" s="546">
        <f t="shared" si="73"/>
        <v>9.9656880000000001</v>
      </c>
      <c r="J109" s="546">
        <f t="shared" si="74"/>
        <v>19798</v>
      </c>
      <c r="K109" s="546">
        <f t="shared" si="75"/>
        <v>9.9656880000000001</v>
      </c>
      <c r="S109" s="544" t="s">
        <v>472</v>
      </c>
      <c r="T109" s="545">
        <v>28672000</v>
      </c>
      <c r="U109" s="545">
        <v>0</v>
      </c>
      <c r="V109" s="545">
        <v>28666296</v>
      </c>
      <c r="W109" s="545">
        <v>5704</v>
      </c>
      <c r="X109" s="546">
        <f t="shared" si="77"/>
        <v>29876.224000000002</v>
      </c>
      <c r="Y109" s="546">
        <f t="shared" si="78"/>
        <v>0</v>
      </c>
      <c r="Z109" s="546">
        <f t="shared" si="79"/>
        <v>29870.280432</v>
      </c>
      <c r="AA109" s="546">
        <f t="shared" si="80"/>
        <v>5.943568</v>
      </c>
      <c r="AC109" s="544" t="s">
        <v>407</v>
      </c>
      <c r="AD109" s="545">
        <v>-97064</v>
      </c>
      <c r="AE109" s="546">
        <f t="shared" si="81"/>
        <v>-97.063999999999993</v>
      </c>
      <c r="AG109" s="544" t="s">
        <v>569</v>
      </c>
      <c r="AH109" s="545">
        <v>79738000</v>
      </c>
      <c r="AI109" s="545">
        <v>7306068</v>
      </c>
      <c r="AJ109" s="545">
        <v>79738000</v>
      </c>
      <c r="AK109" s="545">
        <v>0</v>
      </c>
      <c r="AL109" s="545">
        <f t="shared" si="82"/>
        <v>79738</v>
      </c>
      <c r="AM109" s="545">
        <f t="shared" si="83"/>
        <v>7306.0680000000002</v>
      </c>
      <c r="AN109" s="545">
        <f t="shared" si="84"/>
        <v>79738</v>
      </c>
      <c r="AO109" s="545">
        <f t="shared" si="85"/>
        <v>0</v>
      </c>
      <c r="AV109" s="544" t="s">
        <v>568</v>
      </c>
      <c r="AW109" s="545">
        <v>27000000</v>
      </c>
      <c r="AX109" s="545">
        <v>3741145</v>
      </c>
      <c r="AY109" s="545">
        <v>27000000</v>
      </c>
      <c r="AZ109" s="545">
        <v>0</v>
      </c>
      <c r="BA109" s="546">
        <f t="shared" si="87"/>
        <v>27000</v>
      </c>
      <c r="BB109" s="546">
        <f t="shared" si="88"/>
        <v>3741.145</v>
      </c>
      <c r="BC109" s="546">
        <f t="shared" si="89"/>
        <v>27000</v>
      </c>
      <c r="BD109" s="546">
        <f t="shared" si="90"/>
        <v>0</v>
      </c>
      <c r="BK109" s="544" t="s">
        <v>390</v>
      </c>
      <c r="BL109" s="545">
        <v>888374451</v>
      </c>
      <c r="BM109" s="545">
        <v>251738882</v>
      </c>
      <c r="BN109" s="545">
        <v>822574081</v>
      </c>
      <c r="BO109" s="545">
        <v>65800370</v>
      </c>
      <c r="BP109" s="545">
        <f t="shared" si="92"/>
        <v>888374.451</v>
      </c>
      <c r="BQ109" s="545">
        <f t="shared" si="93"/>
        <v>251738.88200000001</v>
      </c>
      <c r="BR109" s="545">
        <f t="shared" si="94"/>
        <v>822574.08100000001</v>
      </c>
      <c r="BS109" s="545">
        <f t="shared" si="95"/>
        <v>65800.37</v>
      </c>
      <c r="BV109" s="544" t="s">
        <v>583</v>
      </c>
      <c r="BW109" s="545">
        <v>21673411</v>
      </c>
      <c r="BX109" s="546">
        <f t="shared" si="96"/>
        <v>21673.411</v>
      </c>
      <c r="BZ109" s="544" t="s">
        <v>390</v>
      </c>
      <c r="CA109" s="545">
        <v>889311645</v>
      </c>
      <c r="CB109" s="545">
        <v>268339993</v>
      </c>
      <c r="CC109" s="545">
        <v>823511275</v>
      </c>
      <c r="CD109" s="545">
        <v>65800370</v>
      </c>
      <c r="CE109" s="545">
        <f t="shared" si="97"/>
        <v>889311.64500000002</v>
      </c>
      <c r="CF109" s="545">
        <f t="shared" si="98"/>
        <v>268339.99300000002</v>
      </c>
      <c r="CG109" s="545">
        <f t="shared" si="99"/>
        <v>823511.27500000002</v>
      </c>
      <c r="CH109" s="545">
        <f t="shared" si="100"/>
        <v>65800.37</v>
      </c>
      <c r="CK109" s="547" t="s">
        <v>852</v>
      </c>
      <c r="CL109" s="546">
        <v>21327265</v>
      </c>
      <c r="CM109" s="546">
        <f t="shared" si="101"/>
        <v>21327.264999999999</v>
      </c>
      <c r="CP109" s="547" t="s">
        <v>568</v>
      </c>
      <c r="CQ109" s="546">
        <v>27000000</v>
      </c>
      <c r="CR109" s="546">
        <v>11716800</v>
      </c>
      <c r="CS109" s="546">
        <v>27000000</v>
      </c>
      <c r="CT109" s="546">
        <v>0</v>
      </c>
      <c r="CU109" s="546">
        <f t="shared" si="131"/>
        <v>27000</v>
      </c>
      <c r="CV109" s="546">
        <f t="shared" si="132"/>
        <v>11716.8</v>
      </c>
      <c r="CW109" s="546">
        <f t="shared" si="133"/>
        <v>27000</v>
      </c>
      <c r="CX109" s="546">
        <f t="shared" si="134"/>
        <v>0</v>
      </c>
      <c r="CZ109" s="547" t="s">
        <v>401</v>
      </c>
      <c r="DA109" s="546">
        <v>18903491</v>
      </c>
      <c r="DB109" s="546">
        <f t="shared" si="102"/>
        <v>18903.491000000002</v>
      </c>
      <c r="DE109" s="544" t="s">
        <v>390</v>
      </c>
      <c r="DF109" s="545">
        <v>889318808</v>
      </c>
      <c r="DG109" s="545">
        <v>406322585</v>
      </c>
      <c r="DH109" s="545">
        <v>855129438</v>
      </c>
      <c r="DI109" s="545">
        <v>34189370</v>
      </c>
      <c r="DJ109" s="546">
        <f t="shared" si="103"/>
        <v>889318.80799999996</v>
      </c>
      <c r="DK109" s="546">
        <f t="shared" si="104"/>
        <v>406322.58500000002</v>
      </c>
      <c r="DL109" s="546">
        <f t="shared" si="105"/>
        <v>855129.43799999997</v>
      </c>
      <c r="DM109" s="546">
        <f t="shared" si="106"/>
        <v>34189.370000000003</v>
      </c>
      <c r="DT109" s="544" t="s">
        <v>390</v>
      </c>
      <c r="DU109" s="545">
        <v>889318808</v>
      </c>
      <c r="DV109" s="545">
        <v>657982011</v>
      </c>
      <c r="DW109" s="545">
        <v>855139438</v>
      </c>
      <c r="DX109" s="545">
        <v>34179370</v>
      </c>
      <c r="DY109" s="546">
        <f t="shared" si="108"/>
        <v>889318.80799999996</v>
      </c>
      <c r="DZ109" s="546">
        <f t="shared" si="109"/>
        <v>657982.01100000006</v>
      </c>
      <c r="EA109" s="546">
        <f t="shared" si="110"/>
        <v>855139.43799999997</v>
      </c>
      <c r="EB109" s="546">
        <f t="shared" si="111"/>
        <v>34179.370000000003</v>
      </c>
      <c r="EI109" s="547" t="s">
        <v>567</v>
      </c>
      <c r="EJ109" s="546">
        <v>2787880</v>
      </c>
      <c r="EK109" s="546">
        <v>2504104</v>
      </c>
      <c r="EL109" s="546">
        <v>2257258</v>
      </c>
      <c r="EM109" s="548">
        <f t="shared" si="113"/>
        <v>2787.88</v>
      </c>
      <c r="EN109" s="548">
        <f t="shared" si="114"/>
        <v>2504.1039999999998</v>
      </c>
      <c r="EO109" s="548">
        <f t="shared" si="115"/>
        <v>2257.2579999999998</v>
      </c>
      <c r="EW109" s="544" t="s">
        <v>389</v>
      </c>
      <c r="EX109" s="545">
        <v>0</v>
      </c>
      <c r="EY109" s="545">
        <v>1190271705</v>
      </c>
      <c r="EZ109" s="545">
        <v>875813732</v>
      </c>
      <c r="FA109" s="545">
        <v>938920167</v>
      </c>
      <c r="FB109" s="545">
        <v>251351538</v>
      </c>
      <c r="FC109" s="546">
        <f t="shared" si="135"/>
        <v>0</v>
      </c>
      <c r="FD109" s="546">
        <f t="shared" si="136"/>
        <v>1190271.7050000001</v>
      </c>
      <c r="FE109" s="546">
        <f t="shared" si="137"/>
        <v>875813.73199999996</v>
      </c>
      <c r="FF109" s="546">
        <f t="shared" si="138"/>
        <v>938920.16700000002</v>
      </c>
      <c r="FG109" s="546">
        <f t="shared" si="139"/>
        <v>251351.538</v>
      </c>
      <c r="FJ109" s="547" t="s">
        <v>576</v>
      </c>
      <c r="FK109" s="546">
        <v>380154780</v>
      </c>
      <c r="FL109" s="548">
        <f t="shared" si="122"/>
        <v>380154.78</v>
      </c>
      <c r="FN109" s="549" t="s">
        <v>567</v>
      </c>
      <c r="FO109" s="550">
        <v>2504104</v>
      </c>
      <c r="FP109" s="550">
        <v>2504104</v>
      </c>
      <c r="FQ109" s="550">
        <v>2504104</v>
      </c>
      <c r="FR109" s="550">
        <f t="shared" si="123"/>
        <v>2504.1039999999998</v>
      </c>
      <c r="FS109" s="550">
        <f t="shared" si="124"/>
        <v>2504.1039999999998</v>
      </c>
      <c r="FT109" s="550">
        <f t="shared" si="125"/>
        <v>2504.1039999999998</v>
      </c>
    </row>
    <row r="110" spans="1:176" ht="15" customHeight="1" x14ac:dyDescent="0.25">
      <c r="A110" s="890" t="s">
        <v>889</v>
      </c>
      <c r="B110" s="544" t="s">
        <v>391</v>
      </c>
      <c r="C110" s="545">
        <v>0</v>
      </c>
      <c r="D110" s="545">
        <v>19000000</v>
      </c>
      <c r="E110" s="545">
        <v>0</v>
      </c>
      <c r="F110" s="545">
        <v>19000000</v>
      </c>
      <c r="G110" s="545">
        <v>0</v>
      </c>
      <c r="H110" s="546">
        <f t="shared" si="72"/>
        <v>19798</v>
      </c>
      <c r="I110" s="546">
        <f t="shared" si="73"/>
        <v>0</v>
      </c>
      <c r="J110" s="546">
        <f t="shared" si="74"/>
        <v>19798</v>
      </c>
      <c r="K110" s="546">
        <f t="shared" si="75"/>
        <v>0</v>
      </c>
      <c r="S110" s="544" t="s">
        <v>570</v>
      </c>
      <c r="T110" s="545">
        <v>19009564</v>
      </c>
      <c r="U110" s="545">
        <v>9564</v>
      </c>
      <c r="V110" s="545">
        <v>4535908</v>
      </c>
      <c r="W110" s="545">
        <v>14473656</v>
      </c>
      <c r="X110" s="546">
        <f t="shared" si="77"/>
        <v>19807.965688</v>
      </c>
      <c r="Y110" s="546">
        <f t="shared" si="78"/>
        <v>9.9656880000000001</v>
      </c>
      <c r="Z110" s="546">
        <f t="shared" si="79"/>
        <v>4726.4161360000007</v>
      </c>
      <c r="AA110" s="546">
        <f t="shared" si="80"/>
        <v>15081.549552000002</v>
      </c>
      <c r="AG110" s="544" t="s">
        <v>472</v>
      </c>
      <c r="AH110" s="545">
        <v>29029000</v>
      </c>
      <c r="AI110" s="545">
        <v>5134716</v>
      </c>
      <c r="AJ110" s="545">
        <v>29023296</v>
      </c>
      <c r="AK110" s="545">
        <v>5704</v>
      </c>
      <c r="AL110" s="545">
        <f t="shared" si="82"/>
        <v>29029</v>
      </c>
      <c r="AM110" s="545">
        <f t="shared" si="83"/>
        <v>5134.7160000000003</v>
      </c>
      <c r="AN110" s="545">
        <f t="shared" si="84"/>
        <v>29023.295999999998</v>
      </c>
      <c r="AO110" s="545">
        <f t="shared" si="85"/>
        <v>5.7039999999999997</v>
      </c>
      <c r="AV110" s="544" t="s">
        <v>569</v>
      </c>
      <c r="AW110" s="545">
        <v>79738000</v>
      </c>
      <c r="AX110" s="545">
        <v>29000607</v>
      </c>
      <c r="AY110" s="545">
        <v>79738000</v>
      </c>
      <c r="AZ110" s="545">
        <v>0</v>
      </c>
      <c r="BA110" s="546">
        <f t="shared" si="87"/>
        <v>79738</v>
      </c>
      <c r="BB110" s="546">
        <f t="shared" si="88"/>
        <v>29000.607</v>
      </c>
      <c r="BC110" s="546">
        <f t="shared" si="89"/>
        <v>79738</v>
      </c>
      <c r="BD110" s="546">
        <f t="shared" si="90"/>
        <v>0</v>
      </c>
      <c r="BK110" s="544" t="s">
        <v>568</v>
      </c>
      <c r="BL110" s="545">
        <v>27000000</v>
      </c>
      <c r="BM110" s="545">
        <v>9663860</v>
      </c>
      <c r="BN110" s="545">
        <v>27000000</v>
      </c>
      <c r="BO110" s="545">
        <v>0</v>
      </c>
      <c r="BP110" s="545">
        <f t="shared" si="92"/>
        <v>27000</v>
      </c>
      <c r="BQ110" s="545">
        <f t="shared" si="93"/>
        <v>9663.86</v>
      </c>
      <c r="BR110" s="545">
        <f t="shared" si="94"/>
        <v>27000</v>
      </c>
      <c r="BS110" s="545">
        <f t="shared" si="95"/>
        <v>0</v>
      </c>
      <c r="BZ110" s="544" t="s">
        <v>568</v>
      </c>
      <c r="CA110" s="545">
        <v>27000000</v>
      </c>
      <c r="CB110" s="545">
        <v>9663860</v>
      </c>
      <c r="CC110" s="545">
        <v>27000000</v>
      </c>
      <c r="CD110" s="545">
        <v>0</v>
      </c>
      <c r="CE110" s="545">
        <f t="shared" si="97"/>
        <v>27000</v>
      </c>
      <c r="CF110" s="545">
        <f t="shared" si="98"/>
        <v>9663.86</v>
      </c>
      <c r="CG110" s="545">
        <f t="shared" si="99"/>
        <v>27000</v>
      </c>
      <c r="CH110" s="545">
        <f t="shared" si="100"/>
        <v>0</v>
      </c>
      <c r="CK110" s="547" t="s">
        <v>580</v>
      </c>
      <c r="CL110" s="546">
        <v>4814725</v>
      </c>
      <c r="CM110" s="546">
        <f t="shared" si="101"/>
        <v>4814.7250000000004</v>
      </c>
      <c r="CP110" s="547" t="s">
        <v>569</v>
      </c>
      <c r="CQ110" s="546">
        <v>117138000</v>
      </c>
      <c r="CR110" s="546">
        <v>57255353</v>
      </c>
      <c r="CS110" s="546">
        <v>117138000</v>
      </c>
      <c r="CT110" s="546">
        <v>0</v>
      </c>
      <c r="CU110" s="546">
        <f t="shared" si="131"/>
        <v>117138</v>
      </c>
      <c r="CV110" s="546">
        <f t="shared" si="132"/>
        <v>57255.353000000003</v>
      </c>
      <c r="CW110" s="546">
        <f t="shared" si="133"/>
        <v>117138</v>
      </c>
      <c r="CX110" s="546">
        <f t="shared" si="134"/>
        <v>0</v>
      </c>
      <c r="CZ110" s="547" t="s">
        <v>582</v>
      </c>
      <c r="DA110" s="546">
        <v>18903491</v>
      </c>
      <c r="DB110" s="546">
        <f t="shared" si="102"/>
        <v>18903.491000000002</v>
      </c>
      <c r="DE110" s="544" t="s">
        <v>568</v>
      </c>
      <c r="DF110" s="545">
        <v>27000000</v>
      </c>
      <c r="DG110" s="545">
        <v>13784335</v>
      </c>
      <c r="DH110" s="545">
        <v>27000000</v>
      </c>
      <c r="DI110" s="545">
        <v>0</v>
      </c>
      <c r="DJ110" s="546">
        <f t="shared" si="103"/>
        <v>27000</v>
      </c>
      <c r="DK110" s="546">
        <f t="shared" si="104"/>
        <v>13784.334999999999</v>
      </c>
      <c r="DL110" s="546">
        <f t="shared" si="105"/>
        <v>27000</v>
      </c>
      <c r="DM110" s="546">
        <f t="shared" si="106"/>
        <v>0</v>
      </c>
      <c r="DT110" s="544" t="s">
        <v>568</v>
      </c>
      <c r="DU110" s="545">
        <v>27000000</v>
      </c>
      <c r="DV110" s="545">
        <v>17924822</v>
      </c>
      <c r="DW110" s="545">
        <v>27000000</v>
      </c>
      <c r="DX110" s="545">
        <v>0</v>
      </c>
      <c r="DY110" s="546">
        <f t="shared" si="108"/>
        <v>27000</v>
      </c>
      <c r="DZ110" s="546">
        <f t="shared" si="109"/>
        <v>17924.822</v>
      </c>
      <c r="EA110" s="546">
        <f t="shared" si="110"/>
        <v>27000</v>
      </c>
      <c r="EB110" s="546">
        <f t="shared" si="111"/>
        <v>0</v>
      </c>
      <c r="EI110" s="547" t="s">
        <v>388</v>
      </c>
      <c r="EJ110" s="546">
        <v>490527158</v>
      </c>
      <c r="EK110" s="546">
        <v>391816676</v>
      </c>
      <c r="EL110" s="546">
        <v>343534155</v>
      </c>
      <c r="EM110" s="548">
        <f t="shared" si="113"/>
        <v>490527.158</v>
      </c>
      <c r="EN110" s="548">
        <f t="shared" si="114"/>
        <v>391816.67599999998</v>
      </c>
      <c r="EO110" s="548">
        <f t="shared" si="115"/>
        <v>343534.15500000003</v>
      </c>
      <c r="EW110" s="544" t="s">
        <v>390</v>
      </c>
      <c r="EX110" s="545">
        <v>0</v>
      </c>
      <c r="EY110" s="545">
        <v>780493705</v>
      </c>
      <c r="EZ110" s="545">
        <v>732205014</v>
      </c>
      <c r="FA110" s="545">
        <v>779044167</v>
      </c>
      <c r="FB110" s="545">
        <v>1449538</v>
      </c>
      <c r="FC110" s="546">
        <f t="shared" si="135"/>
        <v>0</v>
      </c>
      <c r="FD110" s="546">
        <f t="shared" si="136"/>
        <v>780493.70499999996</v>
      </c>
      <c r="FE110" s="546">
        <f t="shared" si="137"/>
        <v>732205.01399999997</v>
      </c>
      <c r="FF110" s="546">
        <f t="shared" si="138"/>
        <v>779044.16700000002</v>
      </c>
      <c r="FG110" s="546">
        <f t="shared" si="139"/>
        <v>1449.538</v>
      </c>
      <c r="FJ110" s="547" t="s">
        <v>398</v>
      </c>
      <c r="FK110" s="546">
        <v>728892168</v>
      </c>
      <c r="FL110" s="548">
        <f t="shared" si="122"/>
        <v>728892.16799999995</v>
      </c>
      <c r="FN110" s="549" t="s">
        <v>388</v>
      </c>
      <c r="FO110" s="550">
        <v>472255664</v>
      </c>
      <c r="FP110" s="550">
        <v>471874864</v>
      </c>
      <c r="FQ110" s="550">
        <v>472255664</v>
      </c>
      <c r="FR110" s="550">
        <f t="shared" si="123"/>
        <v>472255.66399999999</v>
      </c>
      <c r="FS110" s="550">
        <f t="shared" si="124"/>
        <v>471874.864</v>
      </c>
      <c r="FT110" s="550">
        <f t="shared" si="125"/>
        <v>472255.66399999999</v>
      </c>
    </row>
    <row r="111" spans="1:176" ht="15" customHeight="1" x14ac:dyDescent="0.25">
      <c r="A111" s="890" t="s">
        <v>889</v>
      </c>
      <c r="B111" s="544" t="s">
        <v>481</v>
      </c>
      <c r="C111" s="545">
        <v>0</v>
      </c>
      <c r="D111" s="545">
        <v>9564</v>
      </c>
      <c r="E111" s="545">
        <v>9564</v>
      </c>
      <c r="F111" s="545">
        <v>0</v>
      </c>
      <c r="G111" s="545">
        <v>9564</v>
      </c>
      <c r="H111" s="546">
        <f t="shared" si="72"/>
        <v>9.9656880000000001</v>
      </c>
      <c r="I111" s="546">
        <f t="shared" si="73"/>
        <v>9.9656880000000001</v>
      </c>
      <c r="J111" s="546">
        <f t="shared" si="74"/>
        <v>0</v>
      </c>
      <c r="K111" s="546">
        <f t="shared" si="75"/>
        <v>9.9656880000000001</v>
      </c>
      <c r="S111" s="544" t="s">
        <v>391</v>
      </c>
      <c r="T111" s="545">
        <v>19000000</v>
      </c>
      <c r="U111" s="545">
        <v>0</v>
      </c>
      <c r="V111" s="545">
        <v>4526344</v>
      </c>
      <c r="W111" s="545">
        <v>14473656</v>
      </c>
      <c r="X111" s="546">
        <f t="shared" si="77"/>
        <v>19798</v>
      </c>
      <c r="Y111" s="546">
        <f t="shared" si="78"/>
        <v>0</v>
      </c>
      <c r="Z111" s="546">
        <f t="shared" si="79"/>
        <v>4716.4504480000005</v>
      </c>
      <c r="AA111" s="546">
        <f t="shared" si="80"/>
        <v>15081.549552000002</v>
      </c>
      <c r="AG111" s="544" t="s">
        <v>570</v>
      </c>
      <c r="AH111" s="545">
        <v>19009564</v>
      </c>
      <c r="AI111" s="545">
        <v>4535908</v>
      </c>
      <c r="AJ111" s="545">
        <v>4535908</v>
      </c>
      <c r="AK111" s="545">
        <v>14473656</v>
      </c>
      <c r="AL111" s="545">
        <f t="shared" si="82"/>
        <v>19009.563999999998</v>
      </c>
      <c r="AM111" s="545">
        <f t="shared" si="83"/>
        <v>4535.9080000000004</v>
      </c>
      <c r="AN111" s="545">
        <f t="shared" si="84"/>
        <v>4535.9080000000004</v>
      </c>
      <c r="AO111" s="545">
        <f t="shared" si="85"/>
        <v>14473.656000000001</v>
      </c>
      <c r="AV111" s="544" t="s">
        <v>472</v>
      </c>
      <c r="AW111" s="545">
        <v>29029000</v>
      </c>
      <c r="AX111" s="545">
        <v>7523574</v>
      </c>
      <c r="AY111" s="545">
        <v>29023296</v>
      </c>
      <c r="AZ111" s="545">
        <v>5704</v>
      </c>
      <c r="BA111" s="546">
        <f t="shared" si="87"/>
        <v>29029</v>
      </c>
      <c r="BB111" s="546">
        <f t="shared" si="88"/>
        <v>7523.5739999999996</v>
      </c>
      <c r="BC111" s="546">
        <f t="shared" si="89"/>
        <v>29023.295999999998</v>
      </c>
      <c r="BD111" s="546">
        <f t="shared" si="90"/>
        <v>5.7039999999999997</v>
      </c>
      <c r="BK111" s="544" t="s">
        <v>569</v>
      </c>
      <c r="BL111" s="545">
        <v>79738000</v>
      </c>
      <c r="BM111" s="545">
        <v>38378590</v>
      </c>
      <c r="BN111" s="545">
        <v>79738000</v>
      </c>
      <c r="BO111" s="545">
        <v>0</v>
      </c>
      <c r="BP111" s="545">
        <f t="shared" si="92"/>
        <v>79738</v>
      </c>
      <c r="BQ111" s="545">
        <f t="shared" si="93"/>
        <v>38378.589999999997</v>
      </c>
      <c r="BR111" s="545">
        <f t="shared" si="94"/>
        <v>79738</v>
      </c>
      <c r="BS111" s="545">
        <f t="shared" si="95"/>
        <v>0</v>
      </c>
      <c r="BZ111" s="544" t="s">
        <v>569</v>
      </c>
      <c r="CA111" s="545">
        <v>79738000</v>
      </c>
      <c r="CB111" s="545">
        <v>47815107</v>
      </c>
      <c r="CC111" s="545">
        <v>79738000</v>
      </c>
      <c r="CD111" s="545">
        <v>0</v>
      </c>
      <c r="CE111" s="545">
        <f t="shared" si="97"/>
        <v>79738</v>
      </c>
      <c r="CF111" s="545">
        <f t="shared" si="98"/>
        <v>47815.107000000004</v>
      </c>
      <c r="CG111" s="545">
        <f t="shared" si="99"/>
        <v>79738</v>
      </c>
      <c r="CH111" s="545">
        <f t="shared" si="100"/>
        <v>0</v>
      </c>
      <c r="CK111" s="547" t="s">
        <v>831</v>
      </c>
      <c r="CL111" s="546">
        <v>226100</v>
      </c>
      <c r="CM111" s="546">
        <f t="shared" si="101"/>
        <v>226.1</v>
      </c>
      <c r="CP111" s="547" t="s">
        <v>472</v>
      </c>
      <c r="CQ111" s="546">
        <v>29029000</v>
      </c>
      <c r="CR111" s="546">
        <v>14690148</v>
      </c>
      <c r="CS111" s="546">
        <v>29023296</v>
      </c>
      <c r="CT111" s="546">
        <v>5704</v>
      </c>
      <c r="CU111" s="546">
        <f t="shared" si="131"/>
        <v>29029</v>
      </c>
      <c r="CV111" s="546">
        <f t="shared" si="132"/>
        <v>14690.147999999999</v>
      </c>
      <c r="CW111" s="546">
        <f t="shared" si="133"/>
        <v>29023.295999999998</v>
      </c>
      <c r="CX111" s="546">
        <f t="shared" si="134"/>
        <v>5.7039999999999997</v>
      </c>
      <c r="DB111" s="548">
        <f>SUM(DB3:DB110)</f>
        <v>7758565.2200000007</v>
      </c>
      <c r="DE111" s="544" t="s">
        <v>569</v>
      </c>
      <c r="DF111" s="545">
        <v>117138000</v>
      </c>
      <c r="DG111" s="545">
        <v>66645743</v>
      </c>
      <c r="DH111" s="545">
        <v>117138000</v>
      </c>
      <c r="DI111" s="545">
        <v>0</v>
      </c>
      <c r="DJ111" s="546">
        <f t="shared" si="103"/>
        <v>117138</v>
      </c>
      <c r="DK111" s="546">
        <f t="shared" si="104"/>
        <v>66645.743000000002</v>
      </c>
      <c r="DL111" s="546">
        <f t="shared" si="105"/>
        <v>117138</v>
      </c>
      <c r="DM111" s="546">
        <f t="shared" si="106"/>
        <v>0</v>
      </c>
      <c r="DT111" s="544" t="s">
        <v>569</v>
      </c>
      <c r="DU111" s="545">
        <v>117138000</v>
      </c>
      <c r="DV111" s="545">
        <v>76139651</v>
      </c>
      <c r="DW111" s="545">
        <v>117138000</v>
      </c>
      <c r="DX111" s="545">
        <v>0</v>
      </c>
      <c r="DY111" s="546">
        <f t="shared" si="108"/>
        <v>117138</v>
      </c>
      <c r="DZ111" s="546">
        <f t="shared" si="109"/>
        <v>76139.650999999998</v>
      </c>
      <c r="EA111" s="546">
        <f t="shared" si="110"/>
        <v>117138</v>
      </c>
      <c r="EB111" s="546">
        <f t="shared" si="111"/>
        <v>0</v>
      </c>
      <c r="EI111" s="547" t="s">
        <v>389</v>
      </c>
      <c r="EJ111" s="546">
        <v>1069695375</v>
      </c>
      <c r="EK111" s="546">
        <v>1028800660</v>
      </c>
      <c r="EL111" s="546">
        <v>825984539</v>
      </c>
      <c r="EM111" s="548">
        <f t="shared" si="113"/>
        <v>1069695.375</v>
      </c>
      <c r="EN111" s="548">
        <f t="shared" si="114"/>
        <v>1028800.66</v>
      </c>
      <c r="EO111" s="548">
        <f t="shared" si="115"/>
        <v>825984.53899999999</v>
      </c>
      <c r="EW111" s="544" t="s">
        <v>568</v>
      </c>
      <c r="EX111" s="545">
        <v>0</v>
      </c>
      <c r="EY111" s="545">
        <v>24006411</v>
      </c>
      <c r="EZ111" s="545">
        <v>21906411</v>
      </c>
      <c r="FA111" s="545">
        <v>24006411</v>
      </c>
      <c r="FB111" s="545">
        <v>0</v>
      </c>
      <c r="FC111" s="546">
        <f t="shared" si="135"/>
        <v>0</v>
      </c>
      <c r="FD111" s="546">
        <f t="shared" si="136"/>
        <v>24006.411</v>
      </c>
      <c r="FE111" s="546">
        <f t="shared" si="137"/>
        <v>21906.411</v>
      </c>
      <c r="FF111" s="546">
        <f t="shared" si="138"/>
        <v>24006.411</v>
      </c>
      <c r="FG111" s="546">
        <f t="shared" si="139"/>
        <v>0</v>
      </c>
      <c r="FJ111" s="547" t="s">
        <v>399</v>
      </c>
      <c r="FK111" s="546">
        <v>218292168</v>
      </c>
      <c r="FL111" s="548">
        <f t="shared" si="122"/>
        <v>218292.16800000001</v>
      </c>
      <c r="FN111" s="549" t="s">
        <v>389</v>
      </c>
      <c r="FO111" s="550">
        <v>949173335</v>
      </c>
      <c r="FP111" s="550">
        <v>949173335</v>
      </c>
      <c r="FQ111" s="550">
        <v>949173335</v>
      </c>
      <c r="FR111" s="550">
        <f t="shared" si="123"/>
        <v>949173.33499999996</v>
      </c>
      <c r="FS111" s="550">
        <f t="shared" si="124"/>
        <v>949173.33499999996</v>
      </c>
      <c r="FT111" s="550">
        <f t="shared" si="125"/>
        <v>949173.33499999996</v>
      </c>
    </row>
    <row r="112" spans="1:176" ht="15" customHeight="1" x14ac:dyDescent="0.25">
      <c r="A112" s="890" t="s">
        <v>888</v>
      </c>
      <c r="B112" s="544" t="s">
        <v>571</v>
      </c>
      <c r="C112" s="545">
        <v>0</v>
      </c>
      <c r="D112" s="545">
        <v>630044915</v>
      </c>
      <c r="E112" s="545">
        <v>65110080</v>
      </c>
      <c r="F112" s="545">
        <v>564934835</v>
      </c>
      <c r="G112" s="545">
        <v>952000</v>
      </c>
      <c r="H112" s="546">
        <f>+D112/$I$1*$J$1</f>
        <v>656506.80143000011</v>
      </c>
      <c r="I112" s="546">
        <f t="shared" si="73"/>
        <v>67844.70336</v>
      </c>
      <c r="J112" s="546">
        <f t="shared" si="74"/>
        <v>588662.09806999995</v>
      </c>
      <c r="K112" s="546">
        <f t="shared" si="75"/>
        <v>991.98400000000004</v>
      </c>
      <c r="S112" s="544" t="s">
        <v>481</v>
      </c>
      <c r="T112" s="545">
        <v>9564</v>
      </c>
      <c r="U112" s="545">
        <v>9564</v>
      </c>
      <c r="V112" s="545">
        <v>9564</v>
      </c>
      <c r="W112" s="545">
        <v>0</v>
      </c>
      <c r="X112" s="546">
        <f t="shared" si="77"/>
        <v>9.9656880000000001</v>
      </c>
      <c r="Y112" s="546">
        <f t="shared" si="78"/>
        <v>9.9656880000000001</v>
      </c>
      <c r="Z112" s="546">
        <f t="shared" si="79"/>
        <v>9.9656880000000001</v>
      </c>
      <c r="AA112" s="546">
        <f t="shared" si="80"/>
        <v>0</v>
      </c>
      <c r="AG112" s="544" t="s">
        <v>391</v>
      </c>
      <c r="AH112" s="545">
        <v>19000000</v>
      </c>
      <c r="AI112" s="545">
        <v>4526344</v>
      </c>
      <c r="AJ112" s="545">
        <v>4526344</v>
      </c>
      <c r="AK112" s="545">
        <v>14473656</v>
      </c>
      <c r="AL112" s="545">
        <f t="shared" si="82"/>
        <v>19000</v>
      </c>
      <c r="AM112" s="545">
        <f t="shared" si="83"/>
        <v>4526.3440000000001</v>
      </c>
      <c r="AN112" s="545">
        <f t="shared" si="84"/>
        <v>4526.3440000000001</v>
      </c>
      <c r="AO112" s="545">
        <f t="shared" si="85"/>
        <v>14473.656000000001</v>
      </c>
      <c r="AV112" s="544" t="s">
        <v>570</v>
      </c>
      <c r="AW112" s="545">
        <v>19009564</v>
      </c>
      <c r="AX112" s="545">
        <v>4535908</v>
      </c>
      <c r="AY112" s="545">
        <v>4535908</v>
      </c>
      <c r="AZ112" s="545">
        <v>14473656</v>
      </c>
      <c r="BA112" s="546">
        <f t="shared" si="87"/>
        <v>19009.563999999998</v>
      </c>
      <c r="BB112" s="546">
        <f t="shared" si="88"/>
        <v>4535.9080000000004</v>
      </c>
      <c r="BC112" s="546">
        <f t="shared" si="89"/>
        <v>4535.9080000000004</v>
      </c>
      <c r="BD112" s="546">
        <f t="shared" si="90"/>
        <v>14473.656000000001</v>
      </c>
      <c r="BK112" s="544" t="s">
        <v>472</v>
      </c>
      <c r="BL112" s="545">
        <v>29029000</v>
      </c>
      <c r="BM112" s="545">
        <v>7523574</v>
      </c>
      <c r="BN112" s="545">
        <v>29023296</v>
      </c>
      <c r="BO112" s="545">
        <v>5704</v>
      </c>
      <c r="BP112" s="545">
        <f t="shared" si="92"/>
        <v>29029</v>
      </c>
      <c r="BQ112" s="545">
        <f t="shared" si="93"/>
        <v>7523.5739999999996</v>
      </c>
      <c r="BR112" s="545">
        <f t="shared" si="94"/>
        <v>29023.295999999998</v>
      </c>
      <c r="BS112" s="545">
        <f t="shared" si="95"/>
        <v>5.7039999999999997</v>
      </c>
      <c r="BZ112" s="544" t="s">
        <v>472</v>
      </c>
      <c r="CA112" s="545">
        <v>29029000</v>
      </c>
      <c r="CB112" s="545">
        <v>12301290</v>
      </c>
      <c r="CC112" s="545">
        <v>29023296</v>
      </c>
      <c r="CD112" s="545">
        <v>5704</v>
      </c>
      <c r="CE112" s="545">
        <f t="shared" si="97"/>
        <v>29029</v>
      </c>
      <c r="CF112" s="545">
        <f t="shared" si="98"/>
        <v>12301.29</v>
      </c>
      <c r="CG112" s="545">
        <f t="shared" si="99"/>
        <v>29023.295999999998</v>
      </c>
      <c r="CH112" s="545">
        <f t="shared" si="100"/>
        <v>5.7039999999999997</v>
      </c>
      <c r="CK112" s="547" t="s">
        <v>400</v>
      </c>
      <c r="CL112" s="546">
        <v>1948625</v>
      </c>
      <c r="CM112" s="546">
        <f t="shared" si="101"/>
        <v>1948.625</v>
      </c>
      <c r="CP112" s="547" t="s">
        <v>570</v>
      </c>
      <c r="CQ112" s="546">
        <v>14724640</v>
      </c>
      <c r="CR112" s="546">
        <v>14054088</v>
      </c>
      <c r="CS112" s="546">
        <v>14054088</v>
      </c>
      <c r="CT112" s="546">
        <v>670552</v>
      </c>
      <c r="CU112" s="546">
        <f t="shared" si="131"/>
        <v>14724.64</v>
      </c>
      <c r="CV112" s="546">
        <f t="shared" si="132"/>
        <v>14054.088</v>
      </c>
      <c r="CW112" s="546">
        <f t="shared" si="133"/>
        <v>14054.088</v>
      </c>
      <c r="CX112" s="546">
        <f t="shared" si="134"/>
        <v>670.55200000000002</v>
      </c>
      <c r="DB112" s="551"/>
      <c r="DE112" s="544" t="s">
        <v>472</v>
      </c>
      <c r="DF112" s="545">
        <v>29029000</v>
      </c>
      <c r="DG112" s="545">
        <v>17079006</v>
      </c>
      <c r="DH112" s="545">
        <v>29023296</v>
      </c>
      <c r="DI112" s="545">
        <v>5704</v>
      </c>
      <c r="DJ112" s="546">
        <f t="shared" si="103"/>
        <v>29029</v>
      </c>
      <c r="DK112" s="546">
        <f t="shared" si="104"/>
        <v>17079.006000000001</v>
      </c>
      <c r="DL112" s="546">
        <f t="shared" si="105"/>
        <v>29023.295999999998</v>
      </c>
      <c r="DM112" s="546">
        <f t="shared" si="106"/>
        <v>5.7039999999999997</v>
      </c>
      <c r="DT112" s="544" t="s">
        <v>472</v>
      </c>
      <c r="DU112" s="545">
        <v>29029000</v>
      </c>
      <c r="DV112" s="545">
        <v>19467864</v>
      </c>
      <c r="DW112" s="545">
        <v>29023296</v>
      </c>
      <c r="DX112" s="545">
        <v>5704</v>
      </c>
      <c r="DY112" s="546">
        <f t="shared" si="108"/>
        <v>29029</v>
      </c>
      <c r="DZ112" s="546">
        <f t="shared" si="109"/>
        <v>19467.864000000001</v>
      </c>
      <c r="EA112" s="546">
        <f t="shared" si="110"/>
        <v>29023.295999999998</v>
      </c>
      <c r="EB112" s="546">
        <f t="shared" si="111"/>
        <v>5.7039999999999997</v>
      </c>
      <c r="EI112" s="547" t="s">
        <v>390</v>
      </c>
      <c r="EJ112" s="546">
        <v>896528375</v>
      </c>
      <c r="EK112" s="546">
        <v>855639364</v>
      </c>
      <c r="EL112" s="546">
        <v>698603723</v>
      </c>
      <c r="EM112" s="548">
        <f t="shared" si="113"/>
        <v>896528.375</v>
      </c>
      <c r="EN112" s="548">
        <f t="shared" si="114"/>
        <v>855639.36399999994</v>
      </c>
      <c r="EO112" s="548">
        <f t="shared" si="115"/>
        <v>698603.723</v>
      </c>
      <c r="EW112" s="544" t="s">
        <v>569</v>
      </c>
      <c r="EX112" s="545">
        <v>0</v>
      </c>
      <c r="EY112" s="545">
        <v>106846293</v>
      </c>
      <c r="EZ112" s="545">
        <v>95067869</v>
      </c>
      <c r="FA112" s="545">
        <v>106846293</v>
      </c>
      <c r="FB112" s="545">
        <v>0</v>
      </c>
      <c r="FC112" s="546">
        <f t="shared" si="135"/>
        <v>0</v>
      </c>
      <c r="FD112" s="546">
        <f t="shared" si="136"/>
        <v>106846.29300000001</v>
      </c>
      <c r="FE112" s="546">
        <f t="shared" si="137"/>
        <v>95067.869000000006</v>
      </c>
      <c r="FF112" s="546">
        <f t="shared" si="138"/>
        <v>106846.29300000001</v>
      </c>
      <c r="FG112" s="546">
        <f t="shared" si="139"/>
        <v>0</v>
      </c>
      <c r="FJ112" s="547" t="s">
        <v>868</v>
      </c>
      <c r="FK112" s="546">
        <v>150000000</v>
      </c>
      <c r="FL112" s="548">
        <f t="shared" si="122"/>
        <v>150000</v>
      </c>
      <c r="FN112" s="549" t="s">
        <v>390</v>
      </c>
      <c r="FO112" s="550">
        <v>778475163</v>
      </c>
      <c r="FP112" s="550">
        <v>778475163</v>
      </c>
      <c r="FQ112" s="550">
        <v>778475163</v>
      </c>
      <c r="FR112" s="550">
        <f t="shared" si="123"/>
        <v>778475.16299999994</v>
      </c>
      <c r="FS112" s="550">
        <f t="shared" si="124"/>
        <v>778475.16299999994</v>
      </c>
      <c r="FT112" s="550">
        <f t="shared" si="125"/>
        <v>778475.16299999994</v>
      </c>
    </row>
    <row r="113" spans="1:176" ht="15" customHeight="1" x14ac:dyDescent="0.25">
      <c r="A113" s="890" t="s">
        <v>889</v>
      </c>
      <c r="B113" s="544" t="s">
        <v>392</v>
      </c>
      <c r="C113" s="545">
        <v>0</v>
      </c>
      <c r="D113" s="545">
        <v>163658485</v>
      </c>
      <c r="E113" s="545">
        <v>0</v>
      </c>
      <c r="F113" s="545">
        <v>163658485</v>
      </c>
      <c r="G113" s="545">
        <v>0</v>
      </c>
      <c r="H113" s="784">
        <f t="shared" si="72"/>
        <v>170532.14137</v>
      </c>
      <c r="I113" s="546">
        <f t="shared" si="73"/>
        <v>0</v>
      </c>
      <c r="J113" s="546">
        <f t="shared" si="74"/>
        <v>170532.14137</v>
      </c>
      <c r="K113" s="546">
        <f t="shared" si="75"/>
        <v>0</v>
      </c>
      <c r="S113" s="544" t="s">
        <v>571</v>
      </c>
      <c r="T113" s="545">
        <v>742784055</v>
      </c>
      <c r="U113" s="545">
        <v>26386590</v>
      </c>
      <c r="V113" s="545">
        <v>164868081</v>
      </c>
      <c r="W113" s="545">
        <v>577915974</v>
      </c>
      <c r="X113" s="546">
        <f t="shared" si="77"/>
        <v>773980.98531000013</v>
      </c>
      <c r="Y113" s="546">
        <f t="shared" si="78"/>
        <v>27494.826779999999</v>
      </c>
      <c r="Z113" s="546">
        <f t="shared" si="79"/>
        <v>171792.54040200001</v>
      </c>
      <c r="AA113" s="546">
        <f t="shared" si="80"/>
        <v>602188.44490800006</v>
      </c>
      <c r="AG113" s="544" t="s">
        <v>481</v>
      </c>
      <c r="AH113" s="545">
        <v>9564</v>
      </c>
      <c r="AI113" s="545">
        <v>9564</v>
      </c>
      <c r="AJ113" s="545">
        <v>9564</v>
      </c>
      <c r="AK113" s="545">
        <v>0</v>
      </c>
      <c r="AL113" s="545">
        <f t="shared" si="82"/>
        <v>9.5640000000000001</v>
      </c>
      <c r="AM113" s="545">
        <f t="shared" si="83"/>
        <v>9.5640000000000001</v>
      </c>
      <c r="AN113" s="545">
        <f t="shared" si="84"/>
        <v>9.5640000000000001</v>
      </c>
      <c r="AO113" s="545">
        <f t="shared" si="85"/>
        <v>0</v>
      </c>
      <c r="AV113" s="544" t="s">
        <v>391</v>
      </c>
      <c r="AW113" s="545">
        <v>19000000</v>
      </c>
      <c r="AX113" s="545">
        <v>4526344</v>
      </c>
      <c r="AY113" s="545">
        <v>4526344</v>
      </c>
      <c r="AZ113" s="545">
        <v>14473656</v>
      </c>
      <c r="BA113" s="546">
        <f t="shared" si="87"/>
        <v>19000</v>
      </c>
      <c r="BB113" s="546">
        <f t="shared" si="88"/>
        <v>4526.3440000000001</v>
      </c>
      <c r="BC113" s="546">
        <f t="shared" si="89"/>
        <v>4526.3440000000001</v>
      </c>
      <c r="BD113" s="546">
        <f t="shared" si="90"/>
        <v>14473.656000000001</v>
      </c>
      <c r="BK113" s="544" t="s">
        <v>570</v>
      </c>
      <c r="BL113" s="545">
        <v>15439564</v>
      </c>
      <c r="BM113" s="545">
        <v>4535908</v>
      </c>
      <c r="BN113" s="545">
        <v>14024197</v>
      </c>
      <c r="BO113" s="545">
        <v>1415367</v>
      </c>
      <c r="BP113" s="545">
        <f t="shared" si="92"/>
        <v>15439.564</v>
      </c>
      <c r="BQ113" s="545">
        <f t="shared" si="93"/>
        <v>4535.9080000000004</v>
      </c>
      <c r="BR113" s="545">
        <f t="shared" si="94"/>
        <v>14024.197</v>
      </c>
      <c r="BS113" s="545">
        <f t="shared" si="95"/>
        <v>1415.367</v>
      </c>
      <c r="BZ113" s="544" t="s">
        <v>570</v>
      </c>
      <c r="CA113" s="545">
        <v>15081564</v>
      </c>
      <c r="CB113" s="545">
        <v>4535908</v>
      </c>
      <c r="CC113" s="545">
        <v>14024197</v>
      </c>
      <c r="CD113" s="545">
        <v>1057367</v>
      </c>
      <c r="CE113" s="545">
        <f t="shared" si="97"/>
        <v>15081.564</v>
      </c>
      <c r="CF113" s="545">
        <f t="shared" si="98"/>
        <v>4535.9080000000004</v>
      </c>
      <c r="CG113" s="545">
        <f t="shared" si="99"/>
        <v>14024.197</v>
      </c>
      <c r="CH113" s="545">
        <f t="shared" si="100"/>
        <v>1057.367</v>
      </c>
      <c r="CK113" s="547" t="s">
        <v>581</v>
      </c>
      <c r="CL113" s="546">
        <v>1948625</v>
      </c>
      <c r="CM113" s="546">
        <f t="shared" si="101"/>
        <v>1948.625</v>
      </c>
      <c r="CP113" s="547" t="s">
        <v>391</v>
      </c>
      <c r="CQ113" s="546">
        <v>14685185</v>
      </c>
      <c r="CR113" s="546">
        <v>14014633</v>
      </c>
      <c r="CS113" s="546">
        <v>14014633</v>
      </c>
      <c r="CT113" s="546">
        <v>670552</v>
      </c>
      <c r="CU113" s="546">
        <f t="shared" si="131"/>
        <v>14685.184999999999</v>
      </c>
      <c r="CV113" s="546">
        <f t="shared" si="132"/>
        <v>14014.633</v>
      </c>
      <c r="CW113" s="546">
        <f t="shared" si="133"/>
        <v>14014.633</v>
      </c>
      <c r="CX113" s="546">
        <f t="shared" si="134"/>
        <v>670.55200000000002</v>
      </c>
      <c r="DE113" s="544" t="s">
        <v>570</v>
      </c>
      <c r="DF113" s="545">
        <v>14652950</v>
      </c>
      <c r="DG113" s="545">
        <v>14054088</v>
      </c>
      <c r="DH113" s="545">
        <v>14054088</v>
      </c>
      <c r="DI113" s="545">
        <v>598862</v>
      </c>
      <c r="DJ113" s="546">
        <f t="shared" si="103"/>
        <v>14652.95</v>
      </c>
      <c r="DK113" s="546">
        <f t="shared" si="104"/>
        <v>14054.088</v>
      </c>
      <c r="DL113" s="546">
        <f t="shared" si="105"/>
        <v>14054.088</v>
      </c>
      <c r="DM113" s="546">
        <f t="shared" si="106"/>
        <v>598.86199999999997</v>
      </c>
      <c r="DT113" s="544" t="s">
        <v>570</v>
      </c>
      <c r="DU113" s="545">
        <v>14652950</v>
      </c>
      <c r="DV113" s="545">
        <v>14054088</v>
      </c>
      <c r="DW113" s="545">
        <v>14054088</v>
      </c>
      <c r="DX113" s="545">
        <v>598862</v>
      </c>
      <c r="DY113" s="546">
        <f t="shared" si="108"/>
        <v>14652.95</v>
      </c>
      <c r="DZ113" s="546">
        <f t="shared" si="109"/>
        <v>14054.088</v>
      </c>
      <c r="EA113" s="546">
        <f t="shared" si="110"/>
        <v>14054.088</v>
      </c>
      <c r="EB113" s="546">
        <f t="shared" si="111"/>
        <v>598.86199999999997</v>
      </c>
      <c r="EI113" s="547" t="s">
        <v>568</v>
      </c>
      <c r="EJ113" s="546">
        <v>27000000</v>
      </c>
      <c r="EK113" s="546">
        <v>27000000</v>
      </c>
      <c r="EL113" s="546">
        <v>19986440</v>
      </c>
      <c r="EM113" s="548">
        <f t="shared" si="113"/>
        <v>27000</v>
      </c>
      <c r="EN113" s="548">
        <f t="shared" si="114"/>
        <v>27000</v>
      </c>
      <c r="EO113" s="548">
        <f t="shared" si="115"/>
        <v>19986.439999999999</v>
      </c>
      <c r="EW113" s="544" t="s">
        <v>472</v>
      </c>
      <c r="EX113" s="545">
        <v>0</v>
      </c>
      <c r="EY113" s="545">
        <v>278925296</v>
      </c>
      <c r="EZ113" s="545">
        <v>26634438</v>
      </c>
      <c r="FA113" s="545">
        <v>29023296</v>
      </c>
      <c r="FB113" s="545">
        <v>249902000</v>
      </c>
      <c r="FC113" s="546">
        <f t="shared" si="135"/>
        <v>0</v>
      </c>
      <c r="FD113" s="546">
        <f t="shared" si="136"/>
        <v>278925.29599999997</v>
      </c>
      <c r="FE113" s="546">
        <f t="shared" si="137"/>
        <v>26634.437999999998</v>
      </c>
      <c r="FF113" s="546">
        <f t="shared" si="138"/>
        <v>29023.295999999998</v>
      </c>
      <c r="FG113" s="546">
        <f t="shared" si="139"/>
        <v>249902</v>
      </c>
      <c r="FJ113" s="547" t="s">
        <v>912</v>
      </c>
      <c r="FK113" s="546">
        <v>55000000</v>
      </c>
      <c r="FL113" s="548">
        <f t="shared" si="122"/>
        <v>55000</v>
      </c>
      <c r="FN113" s="549" t="s">
        <v>568</v>
      </c>
      <c r="FO113" s="550">
        <v>26232209</v>
      </c>
      <c r="FP113" s="550">
        <v>26232209</v>
      </c>
      <c r="FQ113" s="550">
        <v>26232209</v>
      </c>
      <c r="FR113" s="550">
        <f t="shared" si="123"/>
        <v>26232.208999999999</v>
      </c>
      <c r="FS113" s="550">
        <f t="shared" si="124"/>
        <v>26232.208999999999</v>
      </c>
      <c r="FT113" s="550">
        <f t="shared" si="125"/>
        <v>26232.208999999999</v>
      </c>
    </row>
    <row r="114" spans="1:176" ht="15" customHeight="1" x14ac:dyDescent="0.25">
      <c r="A114" s="890" t="s">
        <v>889</v>
      </c>
      <c r="B114" s="544" t="s">
        <v>393</v>
      </c>
      <c r="C114" s="545">
        <v>0</v>
      </c>
      <c r="D114" s="545">
        <v>49056000</v>
      </c>
      <c r="E114" s="545">
        <v>0</v>
      </c>
      <c r="F114" s="545">
        <v>49056000</v>
      </c>
      <c r="G114" s="545">
        <v>0</v>
      </c>
      <c r="H114" s="784">
        <f t="shared" si="72"/>
        <v>51116.351999999999</v>
      </c>
      <c r="I114" s="546">
        <f t="shared" si="73"/>
        <v>0</v>
      </c>
      <c r="J114" s="546">
        <f t="shared" si="74"/>
        <v>51116.351999999999</v>
      </c>
      <c r="K114" s="546">
        <f t="shared" si="75"/>
        <v>0</v>
      </c>
      <c r="S114" s="544" t="s">
        <v>392</v>
      </c>
      <c r="T114" s="545">
        <v>163658485</v>
      </c>
      <c r="U114" s="545">
        <v>0</v>
      </c>
      <c r="V114" s="545">
        <v>79730001</v>
      </c>
      <c r="W114" s="545">
        <v>83928484</v>
      </c>
      <c r="X114" s="546">
        <f t="shared" si="77"/>
        <v>170532.14137</v>
      </c>
      <c r="Y114" s="546">
        <f t="shared" si="78"/>
        <v>0</v>
      </c>
      <c r="Z114" s="546">
        <f t="shared" si="79"/>
        <v>83078.661042000007</v>
      </c>
      <c r="AA114" s="546">
        <f t="shared" si="80"/>
        <v>87453.480328000005</v>
      </c>
      <c r="AG114" s="544" t="s">
        <v>571</v>
      </c>
      <c r="AH114" s="545">
        <v>684105165</v>
      </c>
      <c r="AI114" s="545">
        <v>233440602</v>
      </c>
      <c r="AJ114" s="545">
        <v>451826724</v>
      </c>
      <c r="AK114" s="545">
        <v>232278441</v>
      </c>
      <c r="AL114" s="545">
        <f t="shared" si="82"/>
        <v>684105.16500000004</v>
      </c>
      <c r="AM114" s="545">
        <f t="shared" si="83"/>
        <v>233440.60200000001</v>
      </c>
      <c r="AN114" s="545">
        <f t="shared" si="84"/>
        <v>451826.72399999999</v>
      </c>
      <c r="AO114" s="545">
        <f t="shared" si="85"/>
        <v>232278.44099999999</v>
      </c>
      <c r="AV114" s="544" t="s">
        <v>481</v>
      </c>
      <c r="AW114" s="545">
        <v>9564</v>
      </c>
      <c r="AX114" s="545">
        <v>9564</v>
      </c>
      <c r="AY114" s="545">
        <v>9564</v>
      </c>
      <c r="AZ114" s="545">
        <v>0</v>
      </c>
      <c r="BA114" s="546">
        <f t="shared" si="87"/>
        <v>9.5640000000000001</v>
      </c>
      <c r="BB114" s="546">
        <f t="shared" si="88"/>
        <v>9.5640000000000001</v>
      </c>
      <c r="BC114" s="546">
        <f t="shared" si="89"/>
        <v>9.5640000000000001</v>
      </c>
      <c r="BD114" s="546">
        <f t="shared" si="90"/>
        <v>0</v>
      </c>
      <c r="BK114" s="544" t="s">
        <v>391</v>
      </c>
      <c r="BL114" s="545">
        <v>15430000</v>
      </c>
      <c r="BM114" s="545">
        <v>4526344</v>
      </c>
      <c r="BN114" s="545">
        <v>14014633</v>
      </c>
      <c r="BO114" s="545">
        <v>1415367</v>
      </c>
      <c r="BP114" s="545">
        <f t="shared" si="92"/>
        <v>15430</v>
      </c>
      <c r="BQ114" s="545">
        <f t="shared" si="93"/>
        <v>4526.3440000000001</v>
      </c>
      <c r="BR114" s="545">
        <f t="shared" si="94"/>
        <v>14014.633</v>
      </c>
      <c r="BS114" s="545">
        <f t="shared" si="95"/>
        <v>1415.367</v>
      </c>
      <c r="BZ114" s="544" t="s">
        <v>391</v>
      </c>
      <c r="CA114" s="545">
        <v>15072000</v>
      </c>
      <c r="CB114" s="545">
        <v>4526344</v>
      </c>
      <c r="CC114" s="545">
        <v>14014633</v>
      </c>
      <c r="CD114" s="545">
        <v>1057367</v>
      </c>
      <c r="CE114" s="545">
        <f t="shared" si="97"/>
        <v>15072</v>
      </c>
      <c r="CF114" s="545">
        <f t="shared" si="98"/>
        <v>4526.3440000000001</v>
      </c>
      <c r="CG114" s="545">
        <f t="shared" si="99"/>
        <v>14014.633</v>
      </c>
      <c r="CH114" s="545">
        <f t="shared" si="100"/>
        <v>1057.367</v>
      </c>
      <c r="CK114" s="547" t="s">
        <v>401</v>
      </c>
      <c r="CL114" s="546">
        <v>2640000</v>
      </c>
      <c r="CM114" s="546">
        <f t="shared" si="101"/>
        <v>2640</v>
      </c>
      <c r="CP114" s="547" t="s">
        <v>481</v>
      </c>
      <c r="CQ114" s="546">
        <v>39455</v>
      </c>
      <c r="CR114" s="546">
        <v>39455</v>
      </c>
      <c r="CS114" s="546">
        <v>39455</v>
      </c>
      <c r="CT114" s="546">
        <v>0</v>
      </c>
      <c r="CU114" s="546">
        <f t="shared" si="131"/>
        <v>39.454999999999998</v>
      </c>
      <c r="CV114" s="546">
        <f t="shared" si="132"/>
        <v>39.454999999999998</v>
      </c>
      <c r="CW114" s="546">
        <f t="shared" si="133"/>
        <v>39.454999999999998</v>
      </c>
      <c r="CX114" s="546">
        <f t="shared" si="134"/>
        <v>0</v>
      </c>
      <c r="DE114" s="544" t="s">
        <v>391</v>
      </c>
      <c r="DF114" s="545">
        <v>14613495</v>
      </c>
      <c r="DG114" s="545">
        <v>14014633</v>
      </c>
      <c r="DH114" s="545">
        <v>14014633</v>
      </c>
      <c r="DI114" s="545">
        <v>598862</v>
      </c>
      <c r="DJ114" s="546">
        <f t="shared" si="103"/>
        <v>14613.495000000001</v>
      </c>
      <c r="DK114" s="546">
        <f t="shared" si="104"/>
        <v>14014.633</v>
      </c>
      <c r="DL114" s="546">
        <f t="shared" si="105"/>
        <v>14014.633</v>
      </c>
      <c r="DM114" s="546">
        <f t="shared" si="106"/>
        <v>598.86199999999997</v>
      </c>
      <c r="DT114" s="544" t="s">
        <v>391</v>
      </c>
      <c r="DU114" s="545">
        <v>14613495</v>
      </c>
      <c r="DV114" s="545">
        <v>14014633</v>
      </c>
      <c r="DW114" s="545">
        <v>14014633</v>
      </c>
      <c r="DX114" s="545">
        <v>598862</v>
      </c>
      <c r="DY114" s="546">
        <f t="shared" si="108"/>
        <v>14613.495000000001</v>
      </c>
      <c r="DZ114" s="546">
        <f t="shared" si="109"/>
        <v>14014.633</v>
      </c>
      <c r="EA114" s="546">
        <f t="shared" si="110"/>
        <v>14014.633</v>
      </c>
      <c r="EB114" s="546">
        <f t="shared" si="111"/>
        <v>598.86199999999997</v>
      </c>
      <c r="EI114" s="547" t="s">
        <v>569</v>
      </c>
      <c r="EJ114" s="546">
        <v>117138000</v>
      </c>
      <c r="EK114" s="546">
        <v>117138000</v>
      </c>
      <c r="EL114" s="546">
        <v>85537654</v>
      </c>
      <c r="EM114" s="548">
        <f t="shared" si="113"/>
        <v>117138</v>
      </c>
      <c r="EN114" s="548">
        <f t="shared" si="114"/>
        <v>117138</v>
      </c>
      <c r="EO114" s="548">
        <f t="shared" si="115"/>
        <v>85537.653999999995</v>
      </c>
      <c r="EW114" s="544" t="s">
        <v>570</v>
      </c>
      <c r="EX114" s="545">
        <v>0</v>
      </c>
      <c r="EY114" s="545">
        <v>14062229</v>
      </c>
      <c r="EZ114" s="545">
        <v>14062229</v>
      </c>
      <c r="FA114" s="545">
        <v>14062229</v>
      </c>
      <c r="FB114" s="545">
        <v>0</v>
      </c>
      <c r="FC114" s="546">
        <f t="shared" si="135"/>
        <v>0</v>
      </c>
      <c r="FD114" s="546">
        <f t="shared" si="136"/>
        <v>14062.228999999999</v>
      </c>
      <c r="FE114" s="546">
        <f t="shared" si="137"/>
        <v>14062.228999999999</v>
      </c>
      <c r="FF114" s="546">
        <f t="shared" si="138"/>
        <v>14062.228999999999</v>
      </c>
      <c r="FG114" s="546">
        <f t="shared" si="139"/>
        <v>0</v>
      </c>
      <c r="FJ114" s="547" t="s">
        <v>502</v>
      </c>
      <c r="FK114" s="546">
        <v>13292168</v>
      </c>
      <c r="FL114" s="548">
        <f t="shared" si="122"/>
        <v>13292.168</v>
      </c>
      <c r="FN114" s="549" t="s">
        <v>569</v>
      </c>
      <c r="FO114" s="550">
        <v>115442667</v>
      </c>
      <c r="FP114" s="550">
        <v>115442667</v>
      </c>
      <c r="FQ114" s="550">
        <v>115442667</v>
      </c>
      <c r="FR114" s="550">
        <f t="shared" si="123"/>
        <v>115442.667</v>
      </c>
      <c r="FS114" s="550">
        <f t="shared" si="124"/>
        <v>115442.667</v>
      </c>
      <c r="FT114" s="550">
        <f t="shared" si="125"/>
        <v>115442.667</v>
      </c>
    </row>
    <row r="115" spans="1:176" ht="15" customHeight="1" x14ac:dyDescent="0.25">
      <c r="A115" s="890" t="s">
        <v>889</v>
      </c>
      <c r="B115" s="544" t="s">
        <v>394</v>
      </c>
      <c r="C115" s="545">
        <v>0</v>
      </c>
      <c r="D115" s="545">
        <f>346865340+800000</f>
        <v>347665340</v>
      </c>
      <c r="E115" s="545">
        <v>27198080</v>
      </c>
      <c r="F115" s="545">
        <v>319667260</v>
      </c>
      <c r="G115" s="545">
        <v>0</v>
      </c>
      <c r="H115" s="784">
        <f>+D115/$I$1*$J$1</f>
        <v>362267.28428000002</v>
      </c>
      <c r="I115" s="546">
        <f t="shared" si="73"/>
        <v>28340.399360000003</v>
      </c>
      <c r="J115" s="546">
        <f t="shared" si="74"/>
        <v>333093.28492000001</v>
      </c>
      <c r="K115" s="546">
        <f t="shared" si="75"/>
        <v>0</v>
      </c>
      <c r="S115" s="544" t="s">
        <v>393</v>
      </c>
      <c r="T115" s="545">
        <v>49056000</v>
      </c>
      <c r="U115" s="545">
        <v>0</v>
      </c>
      <c r="V115" s="545">
        <v>0</v>
      </c>
      <c r="W115" s="545">
        <v>49056000</v>
      </c>
      <c r="X115" s="546">
        <f t="shared" si="77"/>
        <v>51116.351999999999</v>
      </c>
      <c r="Y115" s="546">
        <f t="shared" si="78"/>
        <v>0</v>
      </c>
      <c r="Z115" s="546">
        <f t="shared" si="79"/>
        <v>0</v>
      </c>
      <c r="AA115" s="546">
        <f t="shared" si="80"/>
        <v>51116.351999999999</v>
      </c>
      <c r="AG115" s="544" t="s">
        <v>392</v>
      </c>
      <c r="AH115" s="545">
        <v>328628149</v>
      </c>
      <c r="AI115" s="545">
        <v>200987666</v>
      </c>
      <c r="AJ115" s="545">
        <v>247988644</v>
      </c>
      <c r="AK115" s="545">
        <v>80639505</v>
      </c>
      <c r="AL115" s="545">
        <f t="shared" si="82"/>
        <v>328628.14899999998</v>
      </c>
      <c r="AM115" s="545">
        <f t="shared" si="83"/>
        <v>200987.666</v>
      </c>
      <c r="AN115" s="545">
        <f t="shared" si="84"/>
        <v>247988.644</v>
      </c>
      <c r="AO115" s="545">
        <f t="shared" si="85"/>
        <v>80639.505000000005</v>
      </c>
      <c r="AV115" s="544" t="s">
        <v>571</v>
      </c>
      <c r="AW115" s="545">
        <v>644105165</v>
      </c>
      <c r="AX115" s="545">
        <v>384110172</v>
      </c>
      <c r="AY115" s="545">
        <v>468637949</v>
      </c>
      <c r="AZ115" s="545">
        <v>175467216</v>
      </c>
      <c r="BA115" s="546">
        <f t="shared" si="87"/>
        <v>644105.16500000004</v>
      </c>
      <c r="BB115" s="546">
        <f t="shared" si="88"/>
        <v>384110.17200000002</v>
      </c>
      <c r="BC115" s="546">
        <f t="shared" si="89"/>
        <v>468637.94900000002</v>
      </c>
      <c r="BD115" s="546">
        <f t="shared" si="90"/>
        <v>175467.21599999999</v>
      </c>
      <c r="BK115" s="544" t="s">
        <v>481</v>
      </c>
      <c r="BL115" s="545">
        <v>9564</v>
      </c>
      <c r="BM115" s="545">
        <v>9564</v>
      </c>
      <c r="BN115" s="545">
        <v>9564</v>
      </c>
      <c r="BO115" s="545">
        <v>0</v>
      </c>
      <c r="BP115" s="545">
        <f t="shared" si="92"/>
        <v>9.5640000000000001</v>
      </c>
      <c r="BQ115" s="545">
        <f t="shared" si="93"/>
        <v>9.5640000000000001</v>
      </c>
      <c r="BR115" s="545">
        <f t="shared" si="94"/>
        <v>9.5640000000000001</v>
      </c>
      <c r="BS115" s="545">
        <f t="shared" si="95"/>
        <v>0</v>
      </c>
      <c r="BZ115" s="544" t="s">
        <v>481</v>
      </c>
      <c r="CA115" s="545">
        <v>9564</v>
      </c>
      <c r="CB115" s="545">
        <v>9564</v>
      </c>
      <c r="CC115" s="545">
        <v>9564</v>
      </c>
      <c r="CD115" s="545">
        <v>0</v>
      </c>
      <c r="CE115" s="545">
        <f t="shared" si="97"/>
        <v>9.5640000000000001</v>
      </c>
      <c r="CF115" s="545">
        <f t="shared" si="98"/>
        <v>9.5640000000000001</v>
      </c>
      <c r="CG115" s="545">
        <f t="shared" si="99"/>
        <v>9.5640000000000001</v>
      </c>
      <c r="CH115" s="545">
        <f t="shared" si="100"/>
        <v>0</v>
      </c>
      <c r="CK115" s="547" t="s">
        <v>582</v>
      </c>
      <c r="CL115" s="546">
        <v>2640000</v>
      </c>
      <c r="CM115" s="546">
        <f t="shared" si="101"/>
        <v>2640</v>
      </c>
      <c r="CP115" s="547" t="s">
        <v>571</v>
      </c>
      <c r="CQ115" s="546">
        <v>2261553993</v>
      </c>
      <c r="CR115" s="546">
        <v>814926659</v>
      </c>
      <c r="CS115" s="546">
        <v>1138465287</v>
      </c>
      <c r="CT115" s="546">
        <v>1123088706</v>
      </c>
      <c r="CU115" s="546">
        <f t="shared" si="131"/>
        <v>2261553.9929999998</v>
      </c>
      <c r="CV115" s="546">
        <f t="shared" si="132"/>
        <v>814926.65899999999</v>
      </c>
      <c r="CW115" s="546">
        <f t="shared" si="133"/>
        <v>1138465.287</v>
      </c>
      <c r="CX115" s="546">
        <f t="shared" si="134"/>
        <v>1123088.706</v>
      </c>
      <c r="DE115" s="544" t="s">
        <v>481</v>
      </c>
      <c r="DF115" s="545">
        <v>39455</v>
      </c>
      <c r="DG115" s="545">
        <v>39455</v>
      </c>
      <c r="DH115" s="545">
        <v>39455</v>
      </c>
      <c r="DI115" s="545">
        <v>0</v>
      </c>
      <c r="DJ115" s="546">
        <f t="shared" si="103"/>
        <v>39.454999999999998</v>
      </c>
      <c r="DK115" s="546">
        <f t="shared" si="104"/>
        <v>39.454999999999998</v>
      </c>
      <c r="DL115" s="546">
        <f t="shared" si="105"/>
        <v>39.454999999999998</v>
      </c>
      <c r="DM115" s="546">
        <f t="shared" si="106"/>
        <v>0</v>
      </c>
      <c r="DT115" s="544" t="s">
        <v>481</v>
      </c>
      <c r="DU115" s="545">
        <v>39455</v>
      </c>
      <c r="DV115" s="545">
        <v>39455</v>
      </c>
      <c r="DW115" s="545">
        <v>39455</v>
      </c>
      <c r="DX115" s="545">
        <v>0</v>
      </c>
      <c r="DY115" s="546">
        <f t="shared" si="108"/>
        <v>39.454999999999998</v>
      </c>
      <c r="DZ115" s="546">
        <f t="shared" si="109"/>
        <v>39.454999999999998</v>
      </c>
      <c r="EA115" s="546">
        <f t="shared" si="110"/>
        <v>39.454999999999998</v>
      </c>
      <c r="EB115" s="546">
        <f t="shared" si="111"/>
        <v>0</v>
      </c>
      <c r="EI115" s="547" t="s">
        <v>472</v>
      </c>
      <c r="EJ115" s="546">
        <v>29029000</v>
      </c>
      <c r="EK115" s="546">
        <v>29023296</v>
      </c>
      <c r="EL115" s="546">
        <v>21856722</v>
      </c>
      <c r="EM115" s="548">
        <f t="shared" si="113"/>
        <v>29029</v>
      </c>
      <c r="EN115" s="548">
        <f t="shared" si="114"/>
        <v>29023.295999999998</v>
      </c>
      <c r="EO115" s="548">
        <f t="shared" si="115"/>
        <v>21856.722000000002</v>
      </c>
      <c r="EW115" s="544" t="s">
        <v>391</v>
      </c>
      <c r="EX115" s="545">
        <v>0</v>
      </c>
      <c r="EY115" s="545">
        <v>14014633</v>
      </c>
      <c r="EZ115" s="545">
        <v>14014633</v>
      </c>
      <c r="FA115" s="545">
        <v>14014633</v>
      </c>
      <c r="FB115" s="545">
        <v>0</v>
      </c>
      <c r="FC115" s="546">
        <f t="shared" si="135"/>
        <v>0</v>
      </c>
      <c r="FD115" s="546">
        <f t="shared" si="136"/>
        <v>14014.633</v>
      </c>
      <c r="FE115" s="546">
        <f t="shared" si="137"/>
        <v>14014.633</v>
      </c>
      <c r="FF115" s="546">
        <f t="shared" si="138"/>
        <v>14014.633</v>
      </c>
      <c r="FG115" s="546">
        <f t="shared" si="139"/>
        <v>0</v>
      </c>
      <c r="FJ115" s="547" t="s">
        <v>473</v>
      </c>
      <c r="FK115" s="546">
        <v>510600000</v>
      </c>
      <c r="FL115" s="548">
        <f t="shared" si="122"/>
        <v>510600</v>
      </c>
      <c r="FN115" s="549" t="s">
        <v>472</v>
      </c>
      <c r="FO115" s="550">
        <v>29023296</v>
      </c>
      <c r="FP115" s="550">
        <v>29023296</v>
      </c>
      <c r="FQ115" s="550">
        <v>29023296</v>
      </c>
      <c r="FR115" s="550">
        <f t="shared" si="123"/>
        <v>29023.295999999998</v>
      </c>
      <c r="FS115" s="550">
        <f t="shared" si="124"/>
        <v>29023.295999999998</v>
      </c>
      <c r="FT115" s="550">
        <f t="shared" si="125"/>
        <v>29023.295999999998</v>
      </c>
    </row>
    <row r="116" spans="1:176" ht="15" customHeight="1" x14ac:dyDescent="0.25">
      <c r="A116" s="890" t="s">
        <v>889</v>
      </c>
      <c r="B116" s="544" t="s">
        <v>395</v>
      </c>
      <c r="C116" s="545">
        <v>0</v>
      </c>
      <c r="D116" s="545">
        <v>70465090</v>
      </c>
      <c r="E116" s="545">
        <v>37912000</v>
      </c>
      <c r="F116" s="545">
        <v>32553090</v>
      </c>
      <c r="G116" s="545">
        <v>952000</v>
      </c>
      <c r="H116" s="784">
        <f t="shared" si="72"/>
        <v>73424.623779999994</v>
      </c>
      <c r="I116" s="546">
        <f t="shared" si="73"/>
        <v>39504.304000000004</v>
      </c>
      <c r="J116" s="546">
        <f t="shared" si="74"/>
        <v>33920.319779999998</v>
      </c>
      <c r="K116" s="546">
        <f t="shared" si="75"/>
        <v>991.98400000000004</v>
      </c>
      <c r="S116" s="544" t="s">
        <v>394</v>
      </c>
      <c r="T116" s="545">
        <v>433645570</v>
      </c>
      <c r="U116" s="545">
        <v>2515680</v>
      </c>
      <c r="V116" s="545">
        <v>35714080</v>
      </c>
      <c r="W116" s="545">
        <v>397931490</v>
      </c>
      <c r="X116" s="546">
        <f t="shared" si="77"/>
        <v>451858.68394000002</v>
      </c>
      <c r="Y116" s="546">
        <f t="shared" si="78"/>
        <v>2621.3385600000001</v>
      </c>
      <c r="Z116" s="546">
        <f t="shared" si="79"/>
        <v>37214.071360000002</v>
      </c>
      <c r="AA116" s="546">
        <f t="shared" si="80"/>
        <v>414644.61258000002</v>
      </c>
      <c r="AG116" s="544" t="s">
        <v>393</v>
      </c>
      <c r="AH116" s="545">
        <v>49056000</v>
      </c>
      <c r="AI116" s="545">
        <v>0</v>
      </c>
      <c r="AJ116" s="545">
        <v>0</v>
      </c>
      <c r="AK116" s="545">
        <v>49056000</v>
      </c>
      <c r="AL116" s="545">
        <f t="shared" si="82"/>
        <v>49056</v>
      </c>
      <c r="AM116" s="545">
        <f t="shared" si="83"/>
        <v>0</v>
      </c>
      <c r="AN116" s="545">
        <f t="shared" si="84"/>
        <v>0</v>
      </c>
      <c r="AO116" s="545">
        <f t="shared" si="85"/>
        <v>49056</v>
      </c>
      <c r="AV116" s="544" t="s">
        <v>392</v>
      </c>
      <c r="AW116" s="545">
        <v>307628149</v>
      </c>
      <c r="AX116" s="545">
        <v>200987666</v>
      </c>
      <c r="AY116" s="545">
        <v>247988645</v>
      </c>
      <c r="AZ116" s="545">
        <v>59639504</v>
      </c>
      <c r="BA116" s="546">
        <f t="shared" si="87"/>
        <v>307628.14899999998</v>
      </c>
      <c r="BB116" s="546">
        <f t="shared" si="88"/>
        <v>200987.666</v>
      </c>
      <c r="BC116" s="546">
        <f t="shared" si="89"/>
        <v>247988.64499999999</v>
      </c>
      <c r="BD116" s="546">
        <f t="shared" si="90"/>
        <v>59639.504000000001</v>
      </c>
      <c r="BK116" s="544" t="s">
        <v>571</v>
      </c>
      <c r="BL116" s="545">
        <v>2383830886</v>
      </c>
      <c r="BM116" s="545">
        <v>495947273</v>
      </c>
      <c r="BN116" s="545">
        <v>877805779</v>
      </c>
      <c r="BO116" s="545">
        <v>1506025107</v>
      </c>
      <c r="BP116" s="545">
        <f t="shared" si="92"/>
        <v>2383830.8859999999</v>
      </c>
      <c r="BQ116" s="545">
        <f t="shared" si="93"/>
        <v>495947.27299999999</v>
      </c>
      <c r="BR116" s="545">
        <f t="shared" si="94"/>
        <v>877805.77899999998</v>
      </c>
      <c r="BS116" s="545">
        <f t="shared" si="95"/>
        <v>1506025.1070000001</v>
      </c>
      <c r="BZ116" s="544" t="s">
        <v>571</v>
      </c>
      <c r="CA116" s="545">
        <v>2335232596</v>
      </c>
      <c r="CB116" s="545">
        <v>655779478</v>
      </c>
      <c r="CC116" s="545">
        <v>1119408287</v>
      </c>
      <c r="CD116" s="545">
        <v>1215824309</v>
      </c>
      <c r="CE116" s="545">
        <f t="shared" si="97"/>
        <v>2335232.5959999999</v>
      </c>
      <c r="CF116" s="545">
        <f t="shared" si="98"/>
        <v>655779.478</v>
      </c>
      <c r="CG116" s="545">
        <f t="shared" si="99"/>
        <v>1119408.287</v>
      </c>
      <c r="CH116" s="545">
        <f t="shared" si="100"/>
        <v>1215824.3089999999</v>
      </c>
      <c r="CK116" s="547" t="s">
        <v>402</v>
      </c>
      <c r="CL116" s="546">
        <v>757827316</v>
      </c>
      <c r="CM116" s="546">
        <f t="shared" si="101"/>
        <v>757827.31599999999</v>
      </c>
      <c r="CP116" s="547" t="s">
        <v>392</v>
      </c>
      <c r="CQ116" s="546">
        <v>1431477863</v>
      </c>
      <c r="CR116" s="546">
        <v>464856892</v>
      </c>
      <c r="CS116" s="546">
        <v>541196127</v>
      </c>
      <c r="CT116" s="546">
        <v>890281736</v>
      </c>
      <c r="CU116" s="546">
        <f t="shared" si="131"/>
        <v>1431477.8629999999</v>
      </c>
      <c r="CV116" s="546">
        <f t="shared" si="132"/>
        <v>464856.89199999999</v>
      </c>
      <c r="CW116" s="546">
        <f t="shared" si="133"/>
        <v>541196.12699999998</v>
      </c>
      <c r="CX116" s="546">
        <f t="shared" si="134"/>
        <v>890281.73600000003</v>
      </c>
      <c r="DE116" s="544" t="s">
        <v>571</v>
      </c>
      <c r="DF116" s="545">
        <v>2123611696</v>
      </c>
      <c r="DG116" s="545">
        <v>1014981312</v>
      </c>
      <c r="DH116" s="545">
        <v>1308569786</v>
      </c>
      <c r="DI116" s="545">
        <v>815041910</v>
      </c>
      <c r="DJ116" s="546">
        <f t="shared" si="103"/>
        <v>2123611.696</v>
      </c>
      <c r="DK116" s="546">
        <f t="shared" si="104"/>
        <v>1014981.312</v>
      </c>
      <c r="DL116" s="546">
        <f t="shared" si="105"/>
        <v>1308569.7860000001</v>
      </c>
      <c r="DM116" s="546">
        <f t="shared" si="106"/>
        <v>815041.91</v>
      </c>
      <c r="DT116" s="544" t="s">
        <v>571</v>
      </c>
      <c r="DU116" s="545">
        <v>1890382348</v>
      </c>
      <c r="DV116" s="545">
        <v>1042362312</v>
      </c>
      <c r="DW116" s="545">
        <v>1507774562</v>
      </c>
      <c r="DX116" s="545">
        <v>382607786</v>
      </c>
      <c r="DY116" s="546">
        <f t="shared" si="108"/>
        <v>1890382.348</v>
      </c>
      <c r="DZ116" s="546">
        <f t="shared" si="109"/>
        <v>1042362.312</v>
      </c>
      <c r="EA116" s="546">
        <f t="shared" si="110"/>
        <v>1507774.5619999999</v>
      </c>
      <c r="EB116" s="546">
        <f t="shared" si="111"/>
        <v>382607.78600000002</v>
      </c>
      <c r="EI116" s="547" t="s">
        <v>570</v>
      </c>
      <c r="EJ116" s="546">
        <v>14652950</v>
      </c>
      <c r="EK116" s="546">
        <v>14054088</v>
      </c>
      <c r="EL116" s="546">
        <v>14054088</v>
      </c>
      <c r="EM116" s="548">
        <f t="shared" si="113"/>
        <v>14652.95</v>
      </c>
      <c r="EN116" s="548">
        <f t="shared" si="114"/>
        <v>14054.088</v>
      </c>
      <c r="EO116" s="548">
        <f t="shared" si="115"/>
        <v>14054.088</v>
      </c>
      <c r="EW116" s="544" t="s">
        <v>481</v>
      </c>
      <c r="EX116" s="545">
        <v>0</v>
      </c>
      <c r="EY116" s="545">
        <v>47596</v>
      </c>
      <c r="EZ116" s="545">
        <v>47596</v>
      </c>
      <c r="FA116" s="545">
        <v>47596</v>
      </c>
      <c r="FB116" s="545">
        <v>0</v>
      </c>
      <c r="FC116" s="546">
        <f t="shared" si="135"/>
        <v>0</v>
      </c>
      <c r="FD116" s="546">
        <f t="shared" si="136"/>
        <v>47.595999999999997</v>
      </c>
      <c r="FE116" s="546">
        <f t="shared" si="137"/>
        <v>47.595999999999997</v>
      </c>
      <c r="FF116" s="546">
        <f t="shared" si="138"/>
        <v>47.595999999999997</v>
      </c>
      <c r="FG116" s="546">
        <f t="shared" si="139"/>
        <v>0</v>
      </c>
      <c r="FJ116" s="547" t="s">
        <v>914</v>
      </c>
      <c r="FK116" s="546">
        <v>300000000</v>
      </c>
      <c r="FL116" s="548">
        <f t="shared" si="122"/>
        <v>300000</v>
      </c>
      <c r="FN116" s="549" t="s">
        <v>570</v>
      </c>
      <c r="FO116" s="550">
        <v>14062229</v>
      </c>
      <c r="FP116" s="550">
        <v>14062229</v>
      </c>
      <c r="FQ116" s="550">
        <v>14062229</v>
      </c>
      <c r="FR116" s="550">
        <f t="shared" si="123"/>
        <v>14062.228999999999</v>
      </c>
      <c r="FS116" s="550">
        <f t="shared" si="124"/>
        <v>14062.228999999999</v>
      </c>
      <c r="FT116" s="550">
        <f t="shared" si="125"/>
        <v>14062.228999999999</v>
      </c>
    </row>
    <row r="117" spans="1:176" ht="15" customHeight="1" x14ac:dyDescent="0.25">
      <c r="A117" s="890" t="s">
        <v>888</v>
      </c>
      <c r="B117" s="544" t="s">
        <v>572</v>
      </c>
      <c r="C117" s="545">
        <v>0</v>
      </c>
      <c r="D117" s="545">
        <v>8246488</v>
      </c>
      <c r="E117" s="545">
        <v>198450</v>
      </c>
      <c r="F117" s="545">
        <v>8048038</v>
      </c>
      <c r="G117" s="545">
        <v>198450</v>
      </c>
      <c r="H117" s="546">
        <f t="shared" si="72"/>
        <v>8592.8404959999989</v>
      </c>
      <c r="I117" s="546">
        <f t="shared" si="73"/>
        <v>206.78489999999999</v>
      </c>
      <c r="J117" s="546">
        <f t="shared" si="74"/>
        <v>8386.0555960000002</v>
      </c>
      <c r="K117" s="546">
        <f t="shared" si="75"/>
        <v>206.78489999999999</v>
      </c>
      <c r="S117" s="544" t="s">
        <v>395</v>
      </c>
      <c r="T117" s="545">
        <v>96424000</v>
      </c>
      <c r="U117" s="545">
        <v>23870910</v>
      </c>
      <c r="V117" s="545">
        <v>49424000</v>
      </c>
      <c r="W117" s="545">
        <v>47000000</v>
      </c>
      <c r="X117" s="546">
        <f t="shared" si="77"/>
        <v>100473.808</v>
      </c>
      <c r="Y117" s="546">
        <f t="shared" si="78"/>
        <v>24873.488219999999</v>
      </c>
      <c r="Z117" s="546">
        <f t="shared" si="79"/>
        <v>51499.808000000005</v>
      </c>
      <c r="AA117" s="546">
        <f t="shared" si="80"/>
        <v>48974</v>
      </c>
      <c r="AG117" s="544" t="s">
        <v>394</v>
      </c>
      <c r="AH117" s="545">
        <v>209997016</v>
      </c>
      <c r="AI117" s="545">
        <v>8582026</v>
      </c>
      <c r="AJ117" s="545">
        <v>173182080</v>
      </c>
      <c r="AK117" s="545">
        <v>36814936</v>
      </c>
      <c r="AL117" s="545">
        <f t="shared" si="82"/>
        <v>209997.016</v>
      </c>
      <c r="AM117" s="545">
        <f t="shared" si="83"/>
        <v>8582.0259999999998</v>
      </c>
      <c r="AN117" s="545">
        <f t="shared" si="84"/>
        <v>173182.07999999999</v>
      </c>
      <c r="AO117" s="545">
        <f t="shared" si="85"/>
        <v>36814.936000000002</v>
      </c>
      <c r="AV117" s="544" t="s">
        <v>393</v>
      </c>
      <c r="AW117" s="545">
        <v>49056000</v>
      </c>
      <c r="AX117" s="545">
        <v>0</v>
      </c>
      <c r="AY117" s="545">
        <v>4500000</v>
      </c>
      <c r="AZ117" s="545">
        <v>44556000</v>
      </c>
      <c r="BA117" s="546">
        <f t="shared" si="87"/>
        <v>49056</v>
      </c>
      <c r="BB117" s="546">
        <f t="shared" si="88"/>
        <v>0</v>
      </c>
      <c r="BC117" s="546">
        <f t="shared" si="89"/>
        <v>4500</v>
      </c>
      <c r="BD117" s="546">
        <f t="shared" si="90"/>
        <v>44556</v>
      </c>
      <c r="BK117" s="544" t="s">
        <v>392</v>
      </c>
      <c r="BL117" s="545">
        <v>1485442663</v>
      </c>
      <c r="BM117" s="545">
        <v>258988013</v>
      </c>
      <c r="BN117" s="545">
        <v>357553027</v>
      </c>
      <c r="BO117" s="545">
        <v>1127889636</v>
      </c>
      <c r="BP117" s="545">
        <f t="shared" si="92"/>
        <v>1485442.6629999999</v>
      </c>
      <c r="BQ117" s="545">
        <f t="shared" si="93"/>
        <v>258988.01300000001</v>
      </c>
      <c r="BR117" s="545">
        <f t="shared" si="94"/>
        <v>357553.027</v>
      </c>
      <c r="BS117" s="545">
        <f t="shared" si="95"/>
        <v>1127889.6359999999</v>
      </c>
      <c r="BZ117" s="544" t="s">
        <v>392</v>
      </c>
      <c r="CA117" s="545">
        <v>1454936080</v>
      </c>
      <c r="CB117" s="545">
        <v>414473872</v>
      </c>
      <c r="CC117" s="545">
        <v>541196127</v>
      </c>
      <c r="CD117" s="545">
        <v>913739953</v>
      </c>
      <c r="CE117" s="545">
        <f t="shared" si="97"/>
        <v>1454936.08</v>
      </c>
      <c r="CF117" s="545">
        <f t="shared" si="98"/>
        <v>414473.87199999997</v>
      </c>
      <c r="CG117" s="545">
        <f t="shared" si="99"/>
        <v>541196.12699999998</v>
      </c>
      <c r="CH117" s="545">
        <f t="shared" si="100"/>
        <v>913739.95299999998</v>
      </c>
      <c r="CK117" s="547" t="s">
        <v>405</v>
      </c>
      <c r="CL117" s="546">
        <v>757827316</v>
      </c>
      <c r="CM117" s="546">
        <f t="shared" si="101"/>
        <v>757827.31599999999</v>
      </c>
      <c r="CP117" s="547" t="s">
        <v>393</v>
      </c>
      <c r="CQ117" s="546">
        <v>49562583</v>
      </c>
      <c r="CR117" s="546">
        <v>1680000</v>
      </c>
      <c r="CS117" s="546">
        <v>27959000</v>
      </c>
      <c r="CT117" s="546">
        <v>21603583</v>
      </c>
      <c r="CU117" s="546">
        <f t="shared" si="131"/>
        <v>49562.582999999999</v>
      </c>
      <c r="CV117" s="546">
        <f t="shared" si="132"/>
        <v>1680</v>
      </c>
      <c r="CW117" s="546">
        <f t="shared" si="133"/>
        <v>27959</v>
      </c>
      <c r="CX117" s="546">
        <f t="shared" si="134"/>
        <v>21603.582999999999</v>
      </c>
      <c r="DE117" s="544" t="s">
        <v>392</v>
      </c>
      <c r="DF117" s="545">
        <v>1410709863</v>
      </c>
      <c r="DG117" s="545">
        <v>611676881</v>
      </c>
      <c r="DH117" s="545">
        <v>679196126</v>
      </c>
      <c r="DI117" s="545">
        <v>731513737</v>
      </c>
      <c r="DJ117" s="546">
        <f t="shared" si="103"/>
        <v>1410709.8629999999</v>
      </c>
      <c r="DK117" s="546">
        <f t="shared" si="104"/>
        <v>611676.88100000005</v>
      </c>
      <c r="DL117" s="546">
        <f t="shared" si="105"/>
        <v>679196.12600000005</v>
      </c>
      <c r="DM117" s="546">
        <f t="shared" si="106"/>
        <v>731513.73699999996</v>
      </c>
      <c r="DT117" s="544" t="s">
        <v>392</v>
      </c>
      <c r="DU117" s="545">
        <v>995191186</v>
      </c>
      <c r="DV117" s="545">
        <v>619161881</v>
      </c>
      <c r="DW117" s="545">
        <v>679196126</v>
      </c>
      <c r="DX117" s="545">
        <v>315995060</v>
      </c>
      <c r="DY117" s="546">
        <f t="shared" si="108"/>
        <v>995191.18599999999</v>
      </c>
      <c r="DZ117" s="546">
        <f t="shared" si="109"/>
        <v>619161.88100000005</v>
      </c>
      <c r="EA117" s="546">
        <f t="shared" si="110"/>
        <v>679196.12600000005</v>
      </c>
      <c r="EB117" s="546">
        <f t="shared" si="111"/>
        <v>315995.06</v>
      </c>
      <c r="EI117" s="547" t="s">
        <v>391</v>
      </c>
      <c r="EJ117" s="546">
        <v>14613495</v>
      </c>
      <c r="EK117" s="546">
        <v>14014633</v>
      </c>
      <c r="EL117" s="546">
        <v>14014633</v>
      </c>
      <c r="EM117" s="548">
        <f t="shared" si="113"/>
        <v>14613.495000000001</v>
      </c>
      <c r="EN117" s="548">
        <f t="shared" si="114"/>
        <v>14014.633</v>
      </c>
      <c r="EO117" s="548">
        <f t="shared" si="115"/>
        <v>14014.633</v>
      </c>
      <c r="EW117" s="544" t="s">
        <v>571</v>
      </c>
      <c r="EX117" s="545">
        <v>0</v>
      </c>
      <c r="EY117" s="545">
        <v>1926208320</v>
      </c>
      <c r="EZ117" s="545">
        <v>1455000768</v>
      </c>
      <c r="FA117" s="545">
        <v>1852482860</v>
      </c>
      <c r="FB117" s="545">
        <v>73725460</v>
      </c>
      <c r="FC117" s="546">
        <f t="shared" si="135"/>
        <v>0</v>
      </c>
      <c r="FD117" s="546">
        <f t="shared" si="136"/>
        <v>1926208.32</v>
      </c>
      <c r="FE117" s="546">
        <f t="shared" si="137"/>
        <v>1455000.7679999999</v>
      </c>
      <c r="FF117" s="546">
        <f t="shared" si="138"/>
        <v>1852482.86</v>
      </c>
      <c r="FG117" s="546">
        <f t="shared" si="139"/>
        <v>73725.460000000006</v>
      </c>
      <c r="FJ117" s="547" t="s">
        <v>967</v>
      </c>
      <c r="FK117" s="546">
        <v>210600000</v>
      </c>
      <c r="FL117" s="548">
        <f t="shared" si="122"/>
        <v>210600</v>
      </c>
      <c r="FN117" s="549" t="s">
        <v>391</v>
      </c>
      <c r="FO117" s="550">
        <v>14014633</v>
      </c>
      <c r="FP117" s="550">
        <v>14014633</v>
      </c>
      <c r="FQ117" s="550">
        <v>14014633</v>
      </c>
      <c r="FR117" s="550">
        <f t="shared" si="123"/>
        <v>14014.633</v>
      </c>
      <c r="FS117" s="550">
        <f t="shared" si="124"/>
        <v>14014.633</v>
      </c>
      <c r="FT117" s="550">
        <f t="shared" si="125"/>
        <v>14014.633</v>
      </c>
    </row>
    <row r="118" spans="1:176" ht="15" customHeight="1" x14ac:dyDescent="0.25">
      <c r="A118" s="890" t="s">
        <v>889</v>
      </c>
      <c r="B118" s="544" t="s">
        <v>396</v>
      </c>
      <c r="C118" s="545">
        <v>0</v>
      </c>
      <c r="D118" s="545">
        <v>8158000</v>
      </c>
      <c r="E118" s="545">
        <v>198450</v>
      </c>
      <c r="F118" s="545">
        <v>7959550</v>
      </c>
      <c r="G118" s="545">
        <v>198450</v>
      </c>
      <c r="H118" s="546">
        <f t="shared" si="72"/>
        <v>8500.6360000000004</v>
      </c>
      <c r="I118" s="546">
        <f t="shared" si="73"/>
        <v>206.78489999999999</v>
      </c>
      <c r="J118" s="546">
        <f t="shared" si="74"/>
        <v>8293.8510999999999</v>
      </c>
      <c r="K118" s="546">
        <f t="shared" si="75"/>
        <v>206.78489999999999</v>
      </c>
      <c r="S118" s="544" t="s">
        <v>572</v>
      </c>
      <c r="T118" s="545">
        <v>8178068</v>
      </c>
      <c r="U118" s="545">
        <v>472145</v>
      </c>
      <c r="V118" s="545">
        <v>472145</v>
      </c>
      <c r="W118" s="545">
        <v>7705923</v>
      </c>
      <c r="X118" s="546">
        <f t="shared" si="77"/>
        <v>8521.5468560000008</v>
      </c>
      <c r="Y118" s="546">
        <f t="shared" si="78"/>
        <v>491.97509000000002</v>
      </c>
      <c r="Z118" s="546">
        <f t="shared" si="79"/>
        <v>491.97509000000002</v>
      </c>
      <c r="AA118" s="546">
        <f t="shared" si="80"/>
        <v>8029.571766</v>
      </c>
      <c r="AG118" s="544" t="s">
        <v>395</v>
      </c>
      <c r="AH118" s="545">
        <v>96424000</v>
      </c>
      <c r="AI118" s="545">
        <v>23870910</v>
      </c>
      <c r="AJ118" s="545">
        <v>30656000</v>
      </c>
      <c r="AK118" s="545">
        <v>65768000</v>
      </c>
      <c r="AL118" s="545">
        <f t="shared" si="82"/>
        <v>96424</v>
      </c>
      <c r="AM118" s="545">
        <f t="shared" si="83"/>
        <v>23870.91</v>
      </c>
      <c r="AN118" s="545">
        <f t="shared" si="84"/>
        <v>30656</v>
      </c>
      <c r="AO118" s="545">
        <f t="shared" si="85"/>
        <v>65768</v>
      </c>
      <c r="AV118" s="544" t="s">
        <v>394</v>
      </c>
      <c r="AW118" s="545">
        <v>209997016</v>
      </c>
      <c r="AX118" s="545">
        <v>154559596</v>
      </c>
      <c r="AY118" s="545">
        <v>185493304</v>
      </c>
      <c r="AZ118" s="545">
        <v>24503712</v>
      </c>
      <c r="BA118" s="546">
        <f t="shared" si="87"/>
        <v>209997.016</v>
      </c>
      <c r="BB118" s="546">
        <f t="shared" si="88"/>
        <v>154559.59599999999</v>
      </c>
      <c r="BC118" s="546">
        <f t="shared" si="89"/>
        <v>185493.304</v>
      </c>
      <c r="BD118" s="546">
        <f t="shared" si="90"/>
        <v>24503.712</v>
      </c>
      <c r="BK118" s="544" t="s">
        <v>393</v>
      </c>
      <c r="BL118" s="545">
        <v>49056000</v>
      </c>
      <c r="BM118" s="545">
        <v>0</v>
      </c>
      <c r="BN118" s="545">
        <v>17481000</v>
      </c>
      <c r="BO118" s="545">
        <v>31575000</v>
      </c>
      <c r="BP118" s="545">
        <f t="shared" si="92"/>
        <v>49056</v>
      </c>
      <c r="BQ118" s="545">
        <f t="shared" si="93"/>
        <v>0</v>
      </c>
      <c r="BR118" s="545">
        <f t="shared" si="94"/>
        <v>17481</v>
      </c>
      <c r="BS118" s="545">
        <f t="shared" si="95"/>
        <v>31575</v>
      </c>
      <c r="BZ118" s="544" t="s">
        <v>393</v>
      </c>
      <c r="CA118" s="545">
        <v>49562583</v>
      </c>
      <c r="CB118" s="545">
        <v>1680000</v>
      </c>
      <c r="CC118" s="545">
        <v>27670000</v>
      </c>
      <c r="CD118" s="545">
        <v>21892583</v>
      </c>
      <c r="CE118" s="545">
        <f t="shared" si="97"/>
        <v>49562.582999999999</v>
      </c>
      <c r="CF118" s="545">
        <f t="shared" si="98"/>
        <v>1680</v>
      </c>
      <c r="CG118" s="545">
        <f t="shared" si="99"/>
        <v>27670</v>
      </c>
      <c r="CH118" s="545">
        <f t="shared" si="100"/>
        <v>21892.582999999999</v>
      </c>
      <c r="CK118" s="547" t="s">
        <v>406</v>
      </c>
      <c r="CL118" s="546">
        <v>757827316</v>
      </c>
      <c r="CM118" s="546">
        <f t="shared" si="101"/>
        <v>757827.31599999999</v>
      </c>
      <c r="CP118" s="547" t="s">
        <v>394</v>
      </c>
      <c r="CQ118" s="546">
        <v>702857547</v>
      </c>
      <c r="CR118" s="546">
        <v>309269858</v>
      </c>
      <c r="CS118" s="546">
        <v>519886160</v>
      </c>
      <c r="CT118" s="546">
        <v>182971387</v>
      </c>
      <c r="CU118" s="546">
        <f t="shared" si="131"/>
        <v>702857.54700000002</v>
      </c>
      <c r="CV118" s="546">
        <f t="shared" si="132"/>
        <v>309269.85800000001</v>
      </c>
      <c r="CW118" s="546">
        <f t="shared" si="133"/>
        <v>519886.16</v>
      </c>
      <c r="CX118" s="546">
        <f t="shared" si="134"/>
        <v>182971.38699999999</v>
      </c>
      <c r="DE118" s="544" t="s">
        <v>393</v>
      </c>
      <c r="DF118" s="545">
        <v>49562583</v>
      </c>
      <c r="DG118" s="545">
        <v>3080000</v>
      </c>
      <c r="DH118" s="545">
        <v>24259000</v>
      </c>
      <c r="DI118" s="545">
        <v>25303583</v>
      </c>
      <c r="DJ118" s="546">
        <f t="shared" si="103"/>
        <v>49562.582999999999</v>
      </c>
      <c r="DK118" s="546">
        <f t="shared" si="104"/>
        <v>3080</v>
      </c>
      <c r="DL118" s="546">
        <f t="shared" si="105"/>
        <v>24259</v>
      </c>
      <c r="DM118" s="546">
        <f t="shared" si="106"/>
        <v>25303.582999999999</v>
      </c>
      <c r="DT118" s="544" t="s">
        <v>393</v>
      </c>
      <c r="DU118" s="545">
        <v>49562583</v>
      </c>
      <c r="DV118" s="545">
        <v>4055000</v>
      </c>
      <c r="DW118" s="545">
        <v>30405000</v>
      </c>
      <c r="DX118" s="545">
        <v>19157583</v>
      </c>
      <c r="DY118" s="546">
        <f t="shared" si="108"/>
        <v>49562.582999999999</v>
      </c>
      <c r="DZ118" s="546">
        <f t="shared" si="109"/>
        <v>4055</v>
      </c>
      <c r="EA118" s="546">
        <f t="shared" si="110"/>
        <v>30405</v>
      </c>
      <c r="EB118" s="546">
        <f t="shared" si="111"/>
        <v>19157.582999999999</v>
      </c>
      <c r="EI118" s="547" t="s">
        <v>481</v>
      </c>
      <c r="EJ118" s="546">
        <v>39455</v>
      </c>
      <c r="EK118" s="546">
        <v>39455</v>
      </c>
      <c r="EL118" s="546">
        <v>39455</v>
      </c>
      <c r="EM118" s="548">
        <f t="shared" si="113"/>
        <v>39.454999999999998</v>
      </c>
      <c r="EN118" s="548">
        <f t="shared" si="114"/>
        <v>39.454999999999998</v>
      </c>
      <c r="EO118" s="548">
        <f t="shared" si="115"/>
        <v>39.454999999999998</v>
      </c>
      <c r="EW118" s="544" t="s">
        <v>392</v>
      </c>
      <c r="EX118" s="545">
        <v>0</v>
      </c>
      <c r="EY118" s="545">
        <v>1049240665</v>
      </c>
      <c r="EZ118" s="545">
        <v>827196120</v>
      </c>
      <c r="FA118" s="545">
        <v>1005496125</v>
      </c>
      <c r="FB118" s="545">
        <v>43744540</v>
      </c>
      <c r="FC118" s="546">
        <f t="shared" si="135"/>
        <v>0</v>
      </c>
      <c r="FD118" s="546">
        <f t="shared" si="136"/>
        <v>1049240.665</v>
      </c>
      <c r="FE118" s="546">
        <f t="shared" si="137"/>
        <v>827196.12</v>
      </c>
      <c r="FF118" s="546">
        <f t="shared" si="138"/>
        <v>1005496.125</v>
      </c>
      <c r="FG118" s="546">
        <f t="shared" si="139"/>
        <v>43744.54</v>
      </c>
      <c r="FJ118" s="547" t="s">
        <v>597</v>
      </c>
      <c r="FK118" s="546">
        <v>33357679</v>
      </c>
      <c r="FL118" s="548">
        <f t="shared" si="122"/>
        <v>33357.678999999996</v>
      </c>
      <c r="FN118" s="549" t="s">
        <v>481</v>
      </c>
      <c r="FO118" s="550">
        <v>47596</v>
      </c>
      <c r="FP118" s="550">
        <v>47596</v>
      </c>
      <c r="FQ118" s="550">
        <v>47596</v>
      </c>
      <c r="FR118" s="550">
        <f t="shared" si="123"/>
        <v>47.595999999999997</v>
      </c>
      <c r="FS118" s="550">
        <f t="shared" si="124"/>
        <v>47.595999999999997</v>
      </c>
      <c r="FT118" s="550">
        <f t="shared" si="125"/>
        <v>47.595999999999997</v>
      </c>
    </row>
    <row r="119" spans="1:176" ht="15" customHeight="1" x14ac:dyDescent="0.25">
      <c r="A119" s="890" t="s">
        <v>889</v>
      </c>
      <c r="B119" s="544" t="s">
        <v>397</v>
      </c>
      <c r="C119" s="545">
        <v>0</v>
      </c>
      <c r="D119" s="545">
        <v>88488</v>
      </c>
      <c r="E119" s="545">
        <v>0</v>
      </c>
      <c r="F119" s="545">
        <v>88488</v>
      </c>
      <c r="G119" s="545">
        <v>0</v>
      </c>
      <c r="H119" s="546">
        <f t="shared" si="72"/>
        <v>92.204496000000006</v>
      </c>
      <c r="I119" s="546">
        <f t="shared" si="73"/>
        <v>0</v>
      </c>
      <c r="J119" s="546">
        <f t="shared" si="74"/>
        <v>92.204496000000006</v>
      </c>
      <c r="K119" s="546">
        <f t="shared" si="75"/>
        <v>0</v>
      </c>
      <c r="S119" s="544" t="s">
        <v>396</v>
      </c>
      <c r="T119" s="545">
        <v>8093580</v>
      </c>
      <c r="U119" s="545">
        <v>472145</v>
      </c>
      <c r="V119" s="545">
        <v>472145</v>
      </c>
      <c r="W119" s="545">
        <v>7621435</v>
      </c>
      <c r="X119" s="546">
        <f t="shared" si="77"/>
        <v>8433.5103600000002</v>
      </c>
      <c r="Y119" s="546">
        <f t="shared" si="78"/>
        <v>491.97509000000002</v>
      </c>
      <c r="Z119" s="546">
        <f t="shared" si="79"/>
        <v>491.97509000000002</v>
      </c>
      <c r="AA119" s="546">
        <f t="shared" si="80"/>
        <v>7941.5352700000003</v>
      </c>
      <c r="AG119" s="544" t="s">
        <v>572</v>
      </c>
      <c r="AH119" s="545">
        <v>8100718</v>
      </c>
      <c r="AI119" s="545">
        <v>1373796</v>
      </c>
      <c r="AJ119" s="545">
        <v>1381701</v>
      </c>
      <c r="AK119" s="545">
        <v>6719017</v>
      </c>
      <c r="AL119" s="545">
        <f t="shared" si="82"/>
        <v>8100.7179999999998</v>
      </c>
      <c r="AM119" s="545">
        <f t="shared" si="83"/>
        <v>1373.796</v>
      </c>
      <c r="AN119" s="545">
        <f t="shared" si="84"/>
        <v>1381.701</v>
      </c>
      <c r="AO119" s="545">
        <f t="shared" si="85"/>
        <v>6719.0169999999998</v>
      </c>
      <c r="AV119" s="544" t="s">
        <v>395</v>
      </c>
      <c r="AW119" s="545">
        <v>77424000</v>
      </c>
      <c r="AX119" s="545">
        <v>28562910</v>
      </c>
      <c r="AY119" s="545">
        <v>30656000</v>
      </c>
      <c r="AZ119" s="545">
        <v>46768000</v>
      </c>
      <c r="BA119" s="546">
        <f t="shared" si="87"/>
        <v>77424</v>
      </c>
      <c r="BB119" s="546">
        <f t="shared" si="88"/>
        <v>28562.91</v>
      </c>
      <c r="BC119" s="546">
        <f t="shared" si="89"/>
        <v>30656</v>
      </c>
      <c r="BD119" s="546">
        <f t="shared" si="90"/>
        <v>46768</v>
      </c>
      <c r="BK119" s="544" t="s">
        <v>394</v>
      </c>
      <c r="BL119" s="545">
        <v>771676223</v>
      </c>
      <c r="BM119" s="545">
        <v>208396350</v>
      </c>
      <c r="BN119" s="545">
        <v>472115752</v>
      </c>
      <c r="BO119" s="545">
        <v>299560471</v>
      </c>
      <c r="BP119" s="545">
        <f t="shared" si="92"/>
        <v>771676.223</v>
      </c>
      <c r="BQ119" s="545">
        <f t="shared" si="93"/>
        <v>208396.35</v>
      </c>
      <c r="BR119" s="545">
        <f t="shared" si="94"/>
        <v>472115.75199999998</v>
      </c>
      <c r="BS119" s="545">
        <f t="shared" si="95"/>
        <v>299560.47100000002</v>
      </c>
      <c r="BZ119" s="544" t="s">
        <v>394</v>
      </c>
      <c r="CA119" s="545">
        <v>753077933</v>
      </c>
      <c r="CB119" s="545">
        <v>211062696</v>
      </c>
      <c r="CC119" s="545">
        <v>519886160</v>
      </c>
      <c r="CD119" s="545">
        <v>233191773</v>
      </c>
      <c r="CE119" s="545">
        <f t="shared" si="97"/>
        <v>753077.93299999996</v>
      </c>
      <c r="CF119" s="545">
        <f t="shared" si="98"/>
        <v>211062.696</v>
      </c>
      <c r="CG119" s="545">
        <f t="shared" si="99"/>
        <v>519886.16</v>
      </c>
      <c r="CH119" s="545">
        <f t="shared" si="100"/>
        <v>233191.77299999999</v>
      </c>
      <c r="CK119" s="547" t="s">
        <v>583</v>
      </c>
      <c r="CL119" s="546">
        <v>757827316</v>
      </c>
      <c r="CM119" s="546">
        <f t="shared" si="101"/>
        <v>757827.31599999999</v>
      </c>
      <c r="CP119" s="547" t="s">
        <v>395</v>
      </c>
      <c r="CQ119" s="546">
        <v>77656000</v>
      </c>
      <c r="CR119" s="546">
        <v>39119909</v>
      </c>
      <c r="CS119" s="546">
        <v>49424000</v>
      </c>
      <c r="CT119" s="546">
        <v>28232000</v>
      </c>
      <c r="CU119" s="546">
        <f t="shared" si="131"/>
        <v>77656</v>
      </c>
      <c r="CV119" s="546">
        <f t="shared" si="132"/>
        <v>39119.909</v>
      </c>
      <c r="CW119" s="546">
        <f t="shared" si="133"/>
        <v>49424</v>
      </c>
      <c r="CX119" s="546">
        <f t="shared" si="134"/>
        <v>28232</v>
      </c>
      <c r="DE119" s="544" t="s">
        <v>394</v>
      </c>
      <c r="DF119" s="545">
        <v>566810750</v>
      </c>
      <c r="DG119" s="545">
        <v>358906932</v>
      </c>
      <c r="DH119" s="545">
        <v>519886160</v>
      </c>
      <c r="DI119" s="545">
        <v>46924590</v>
      </c>
      <c r="DJ119" s="546">
        <f t="shared" si="103"/>
        <v>566810.75</v>
      </c>
      <c r="DK119" s="546">
        <f t="shared" si="104"/>
        <v>358906.93199999997</v>
      </c>
      <c r="DL119" s="546">
        <f t="shared" si="105"/>
        <v>519886.16</v>
      </c>
      <c r="DM119" s="546">
        <f t="shared" si="106"/>
        <v>46924.59</v>
      </c>
      <c r="DT119" s="544" t="s">
        <v>394</v>
      </c>
      <c r="DU119" s="545">
        <v>749100079</v>
      </c>
      <c r="DV119" s="545">
        <v>358906932</v>
      </c>
      <c r="DW119" s="545">
        <v>712944936</v>
      </c>
      <c r="DX119" s="545">
        <v>36155143</v>
      </c>
      <c r="DY119" s="546">
        <f t="shared" si="108"/>
        <v>749100.07900000003</v>
      </c>
      <c r="DZ119" s="546">
        <f t="shared" si="109"/>
        <v>358906.93199999997</v>
      </c>
      <c r="EA119" s="546">
        <f t="shared" si="110"/>
        <v>712944.93599999999</v>
      </c>
      <c r="EB119" s="546">
        <f t="shared" si="111"/>
        <v>36155.142999999996</v>
      </c>
      <c r="EI119" s="547" t="s">
        <v>571</v>
      </c>
      <c r="EJ119" s="546">
        <v>1947394102</v>
      </c>
      <c r="EK119" s="546">
        <v>1585324562</v>
      </c>
      <c r="EL119" s="546">
        <v>1175679469</v>
      </c>
      <c r="EM119" s="548">
        <f t="shared" si="113"/>
        <v>1947394.102</v>
      </c>
      <c r="EN119" s="548">
        <f t="shared" si="114"/>
        <v>1585324.5619999999</v>
      </c>
      <c r="EO119" s="548">
        <f t="shared" si="115"/>
        <v>1175679.469</v>
      </c>
      <c r="EW119" s="544" t="s">
        <v>393</v>
      </c>
      <c r="EX119" s="545">
        <v>0</v>
      </c>
      <c r="EY119" s="545">
        <v>49056000</v>
      </c>
      <c r="EZ119" s="545">
        <v>21425000</v>
      </c>
      <c r="FA119" s="545">
        <v>40390000</v>
      </c>
      <c r="FB119" s="545">
        <v>8666000</v>
      </c>
      <c r="FC119" s="546">
        <f t="shared" si="135"/>
        <v>0</v>
      </c>
      <c r="FD119" s="546">
        <f t="shared" si="136"/>
        <v>49056</v>
      </c>
      <c r="FE119" s="546">
        <f t="shared" si="137"/>
        <v>21425</v>
      </c>
      <c r="FF119" s="546">
        <f t="shared" si="138"/>
        <v>40390</v>
      </c>
      <c r="FG119" s="546">
        <f t="shared" si="139"/>
        <v>8666</v>
      </c>
      <c r="FJ119" s="547" t="s">
        <v>598</v>
      </c>
      <c r="FK119" s="546">
        <v>33357679</v>
      </c>
      <c r="FL119" s="548">
        <f t="shared" si="122"/>
        <v>33357.678999999996</v>
      </c>
      <c r="FN119" s="549" t="s">
        <v>571</v>
      </c>
      <c r="FO119" s="550">
        <v>2050533185</v>
      </c>
      <c r="FP119" s="550">
        <v>1871617185</v>
      </c>
      <c r="FQ119" s="550">
        <v>1873867185</v>
      </c>
      <c r="FR119" s="550">
        <f t="shared" si="123"/>
        <v>2050533.1850000001</v>
      </c>
      <c r="FS119" s="550">
        <f t="shared" si="124"/>
        <v>1871617.1850000001</v>
      </c>
      <c r="FT119" s="550">
        <f t="shared" si="125"/>
        <v>1873867.1850000001</v>
      </c>
    </row>
    <row r="120" spans="1:176" ht="15" customHeight="1" x14ac:dyDescent="0.25">
      <c r="A120" s="890" t="s">
        <v>431</v>
      </c>
      <c r="B120" s="544" t="s">
        <v>574</v>
      </c>
      <c r="C120" s="545">
        <v>10000</v>
      </c>
      <c r="D120" s="545">
        <v>10000</v>
      </c>
      <c r="E120" s="545">
        <v>0</v>
      </c>
      <c r="F120" s="545">
        <v>10000</v>
      </c>
      <c r="G120" s="545">
        <v>0</v>
      </c>
      <c r="H120" s="546">
        <f t="shared" si="72"/>
        <v>10.42</v>
      </c>
      <c r="I120" s="546">
        <f t="shared" si="73"/>
        <v>0</v>
      </c>
      <c r="J120" s="546">
        <f t="shared" si="74"/>
        <v>10.42</v>
      </c>
      <c r="K120" s="546">
        <f t="shared" si="75"/>
        <v>0</v>
      </c>
      <c r="S120" s="544" t="s">
        <v>397</v>
      </c>
      <c r="T120" s="545">
        <v>84488</v>
      </c>
      <c r="U120" s="545">
        <v>0</v>
      </c>
      <c r="V120" s="545">
        <v>0</v>
      </c>
      <c r="W120" s="545">
        <v>84488</v>
      </c>
      <c r="X120" s="546">
        <f t="shared" si="77"/>
        <v>88.036496</v>
      </c>
      <c r="Y120" s="546">
        <f t="shared" si="78"/>
        <v>0</v>
      </c>
      <c r="Z120" s="546">
        <f t="shared" si="79"/>
        <v>0</v>
      </c>
      <c r="AA120" s="546">
        <f t="shared" si="80"/>
        <v>88.036496</v>
      </c>
      <c r="AG120" s="544" t="s">
        <v>396</v>
      </c>
      <c r="AH120" s="545">
        <v>8016230</v>
      </c>
      <c r="AI120" s="545">
        <v>1373796</v>
      </c>
      <c r="AJ120" s="545">
        <v>1381701</v>
      </c>
      <c r="AK120" s="545">
        <v>6634529</v>
      </c>
      <c r="AL120" s="545">
        <f t="shared" si="82"/>
        <v>8016.23</v>
      </c>
      <c r="AM120" s="545">
        <f t="shared" si="83"/>
        <v>1373.796</v>
      </c>
      <c r="AN120" s="545">
        <f t="shared" si="84"/>
        <v>1381.701</v>
      </c>
      <c r="AO120" s="545">
        <f t="shared" si="85"/>
        <v>6634.5290000000005</v>
      </c>
      <c r="AV120" s="544" t="s">
        <v>572</v>
      </c>
      <c r="AW120" s="545">
        <v>8018218</v>
      </c>
      <c r="AX120" s="545">
        <v>2546103</v>
      </c>
      <c r="AY120" s="545">
        <v>2638418</v>
      </c>
      <c r="AZ120" s="545">
        <v>5379800</v>
      </c>
      <c r="BA120" s="546">
        <f t="shared" si="87"/>
        <v>8018.2179999999998</v>
      </c>
      <c r="BB120" s="546">
        <f t="shared" si="88"/>
        <v>2546.1030000000001</v>
      </c>
      <c r="BC120" s="546">
        <f t="shared" si="89"/>
        <v>2638.4180000000001</v>
      </c>
      <c r="BD120" s="546">
        <f t="shared" si="90"/>
        <v>5379.8</v>
      </c>
      <c r="BK120" s="544" t="s">
        <v>395</v>
      </c>
      <c r="BL120" s="545">
        <v>77656000</v>
      </c>
      <c r="BM120" s="545">
        <v>28562910</v>
      </c>
      <c r="BN120" s="545">
        <v>30656000</v>
      </c>
      <c r="BO120" s="545">
        <v>47000000</v>
      </c>
      <c r="BP120" s="545">
        <f t="shared" si="92"/>
        <v>77656</v>
      </c>
      <c r="BQ120" s="545">
        <f t="shared" si="93"/>
        <v>28562.91</v>
      </c>
      <c r="BR120" s="545">
        <f t="shared" si="94"/>
        <v>30656</v>
      </c>
      <c r="BS120" s="545">
        <f t="shared" si="95"/>
        <v>47000</v>
      </c>
      <c r="BZ120" s="544" t="s">
        <v>395</v>
      </c>
      <c r="CA120" s="545">
        <v>77656000</v>
      </c>
      <c r="CB120" s="545">
        <v>28562910</v>
      </c>
      <c r="CC120" s="545">
        <v>30656000</v>
      </c>
      <c r="CD120" s="545">
        <v>47000000</v>
      </c>
      <c r="CE120" s="545">
        <f t="shared" si="97"/>
        <v>77656</v>
      </c>
      <c r="CF120" s="545">
        <f t="shared" si="98"/>
        <v>28562.91</v>
      </c>
      <c r="CG120" s="545">
        <f t="shared" si="99"/>
        <v>30656</v>
      </c>
      <c r="CH120" s="545">
        <f t="shared" si="100"/>
        <v>47000</v>
      </c>
      <c r="CP120" s="547" t="s">
        <v>572</v>
      </c>
      <c r="CQ120" s="546">
        <v>8270140</v>
      </c>
      <c r="CR120" s="546">
        <v>5273964</v>
      </c>
      <c r="CS120" s="546">
        <v>5431869</v>
      </c>
      <c r="CT120" s="546">
        <v>2838271</v>
      </c>
      <c r="CU120" s="546">
        <f t="shared" si="131"/>
        <v>8270.14</v>
      </c>
      <c r="CV120" s="546">
        <f t="shared" si="132"/>
        <v>5273.9639999999999</v>
      </c>
      <c r="CW120" s="546">
        <f t="shared" si="133"/>
        <v>5431.8689999999997</v>
      </c>
      <c r="CX120" s="546">
        <f t="shared" si="134"/>
        <v>2838.2710000000002</v>
      </c>
      <c r="DE120" s="544" t="s">
        <v>395</v>
      </c>
      <c r="DF120" s="545">
        <v>96528500</v>
      </c>
      <c r="DG120" s="545">
        <v>41317499</v>
      </c>
      <c r="DH120" s="545">
        <v>85228500</v>
      </c>
      <c r="DI120" s="545">
        <v>11300000</v>
      </c>
      <c r="DJ120" s="546">
        <f t="shared" si="103"/>
        <v>96528.5</v>
      </c>
      <c r="DK120" s="546">
        <f t="shared" si="104"/>
        <v>41317.499000000003</v>
      </c>
      <c r="DL120" s="546">
        <f t="shared" si="105"/>
        <v>85228.5</v>
      </c>
      <c r="DM120" s="546">
        <f t="shared" si="106"/>
        <v>11300</v>
      </c>
      <c r="DT120" s="544" t="s">
        <v>395</v>
      </c>
      <c r="DU120" s="545">
        <v>96528500</v>
      </c>
      <c r="DV120" s="545">
        <v>60238499</v>
      </c>
      <c r="DW120" s="545">
        <v>85228500</v>
      </c>
      <c r="DX120" s="545">
        <v>11300000</v>
      </c>
      <c r="DY120" s="546">
        <f t="shared" si="108"/>
        <v>96528.5</v>
      </c>
      <c r="DZ120" s="546">
        <f t="shared" si="109"/>
        <v>60238.499000000003</v>
      </c>
      <c r="EA120" s="546">
        <f t="shared" si="110"/>
        <v>85228.5</v>
      </c>
      <c r="EB120" s="546">
        <f t="shared" si="111"/>
        <v>11300</v>
      </c>
      <c r="EI120" s="547" t="s">
        <v>392</v>
      </c>
      <c r="EJ120" s="546">
        <v>1069780335</v>
      </c>
      <c r="EK120" s="546">
        <v>754896126</v>
      </c>
      <c r="EL120" s="546">
        <v>658538881</v>
      </c>
      <c r="EM120" s="548">
        <f t="shared" si="113"/>
        <v>1069780.335</v>
      </c>
      <c r="EN120" s="548">
        <f t="shared" si="114"/>
        <v>754896.12600000005</v>
      </c>
      <c r="EO120" s="548">
        <f t="shared" si="115"/>
        <v>658538.88100000005</v>
      </c>
      <c r="EW120" s="544" t="s">
        <v>394</v>
      </c>
      <c r="EX120" s="545">
        <v>0</v>
      </c>
      <c r="EY120" s="545">
        <v>739857336</v>
      </c>
      <c r="EZ120" s="545">
        <v>520225329</v>
      </c>
      <c r="FA120" s="545">
        <v>718857336</v>
      </c>
      <c r="FB120" s="545">
        <v>21000000</v>
      </c>
      <c r="FC120" s="546">
        <f t="shared" si="135"/>
        <v>0</v>
      </c>
      <c r="FD120" s="546">
        <f t="shared" si="136"/>
        <v>739857.33600000001</v>
      </c>
      <c r="FE120" s="546">
        <f t="shared" si="137"/>
        <v>520225.32900000003</v>
      </c>
      <c r="FF120" s="546">
        <f t="shared" si="138"/>
        <v>718857.33600000001</v>
      </c>
      <c r="FG120" s="546">
        <f t="shared" si="139"/>
        <v>21000</v>
      </c>
      <c r="FJ120" s="547" t="s">
        <v>852</v>
      </c>
      <c r="FK120" s="546">
        <v>33357679</v>
      </c>
      <c r="FL120" s="548">
        <f t="shared" si="122"/>
        <v>33357.678999999996</v>
      </c>
      <c r="FN120" s="549" t="s">
        <v>392</v>
      </c>
      <c r="FO120" s="550">
        <v>1171096079</v>
      </c>
      <c r="FP120" s="550">
        <v>1003096079</v>
      </c>
      <c r="FQ120" s="550">
        <v>1003096079</v>
      </c>
      <c r="FR120" s="550">
        <f t="shared" si="123"/>
        <v>1171096.0789999999</v>
      </c>
      <c r="FS120" s="550">
        <f t="shared" si="124"/>
        <v>1003096.079</v>
      </c>
      <c r="FT120" s="550">
        <f t="shared" si="125"/>
        <v>1003096.079</v>
      </c>
    </row>
    <row r="121" spans="1:176" ht="15" customHeight="1" x14ac:dyDescent="0.25">
      <c r="A121" s="890" t="s">
        <v>888</v>
      </c>
      <c r="B121" s="544" t="s">
        <v>575</v>
      </c>
      <c r="C121" s="545">
        <v>10000</v>
      </c>
      <c r="D121" s="545">
        <v>10000</v>
      </c>
      <c r="E121" s="545">
        <v>0</v>
      </c>
      <c r="F121" s="545">
        <v>10000</v>
      </c>
      <c r="G121" s="545">
        <v>0</v>
      </c>
      <c r="H121" s="546">
        <f t="shared" si="72"/>
        <v>10.42</v>
      </c>
      <c r="I121" s="546">
        <f t="shared" si="73"/>
        <v>0</v>
      </c>
      <c r="J121" s="546">
        <f t="shared" si="74"/>
        <v>10.42</v>
      </c>
      <c r="K121" s="546">
        <f t="shared" si="75"/>
        <v>0</v>
      </c>
      <c r="S121" s="544" t="s">
        <v>574</v>
      </c>
      <c r="T121" s="545">
        <v>10000</v>
      </c>
      <c r="U121" s="545">
        <v>0</v>
      </c>
      <c r="V121" s="545">
        <v>0</v>
      </c>
      <c r="W121" s="545">
        <v>10000</v>
      </c>
      <c r="X121" s="546">
        <f t="shared" si="77"/>
        <v>10.42</v>
      </c>
      <c r="Y121" s="546">
        <f t="shared" si="78"/>
        <v>0</v>
      </c>
      <c r="Z121" s="546">
        <f t="shared" si="79"/>
        <v>0</v>
      </c>
      <c r="AA121" s="546">
        <f t="shared" si="80"/>
        <v>10.42</v>
      </c>
      <c r="AG121" s="544" t="s">
        <v>397</v>
      </c>
      <c r="AH121" s="545">
        <v>84488</v>
      </c>
      <c r="AI121" s="545">
        <v>0</v>
      </c>
      <c r="AJ121" s="545">
        <v>0</v>
      </c>
      <c r="AK121" s="545">
        <v>84488</v>
      </c>
      <c r="AL121" s="545">
        <f t="shared" si="82"/>
        <v>84.488</v>
      </c>
      <c r="AM121" s="545">
        <f t="shared" si="83"/>
        <v>0</v>
      </c>
      <c r="AN121" s="545">
        <f t="shared" si="84"/>
        <v>0</v>
      </c>
      <c r="AO121" s="545">
        <f t="shared" si="85"/>
        <v>84.488</v>
      </c>
      <c r="AV121" s="544" t="s">
        <v>396</v>
      </c>
      <c r="AW121" s="545">
        <v>7933730</v>
      </c>
      <c r="AX121" s="545">
        <v>2546103</v>
      </c>
      <c r="AY121" s="545">
        <v>2638418</v>
      </c>
      <c r="AZ121" s="545">
        <v>5295312</v>
      </c>
      <c r="BA121" s="546">
        <f t="shared" si="87"/>
        <v>7933.73</v>
      </c>
      <c r="BB121" s="546">
        <f t="shared" si="88"/>
        <v>2546.1030000000001</v>
      </c>
      <c r="BC121" s="546">
        <f t="shared" si="89"/>
        <v>2638.4180000000001</v>
      </c>
      <c r="BD121" s="546">
        <f t="shared" si="90"/>
        <v>5295.3119999999999</v>
      </c>
      <c r="BK121" s="544" t="s">
        <v>572</v>
      </c>
      <c r="BL121" s="545">
        <v>8409600</v>
      </c>
      <c r="BM121" s="545">
        <v>3345124</v>
      </c>
      <c r="BN121" s="545">
        <v>3525699</v>
      </c>
      <c r="BO121" s="545">
        <v>4883901</v>
      </c>
      <c r="BP121" s="545">
        <f t="shared" si="92"/>
        <v>8409.6</v>
      </c>
      <c r="BQ121" s="545">
        <f t="shared" si="93"/>
        <v>3345.1239999999998</v>
      </c>
      <c r="BR121" s="545">
        <f t="shared" si="94"/>
        <v>3525.6990000000001</v>
      </c>
      <c r="BS121" s="545">
        <f t="shared" si="95"/>
        <v>4883.9009999999998</v>
      </c>
      <c r="BZ121" s="544" t="s">
        <v>572</v>
      </c>
      <c r="CA121" s="545">
        <v>8196544</v>
      </c>
      <c r="CB121" s="545">
        <v>4200659</v>
      </c>
      <c r="CC121" s="545">
        <v>4436334</v>
      </c>
      <c r="CD121" s="545">
        <v>3760210</v>
      </c>
      <c r="CE121" s="545">
        <f t="shared" si="97"/>
        <v>8196.5439999999999</v>
      </c>
      <c r="CF121" s="545">
        <f t="shared" si="98"/>
        <v>4200.6589999999997</v>
      </c>
      <c r="CG121" s="545">
        <f t="shared" si="99"/>
        <v>4436.3339999999998</v>
      </c>
      <c r="CH121" s="545">
        <f t="shared" si="100"/>
        <v>3760.21</v>
      </c>
      <c r="CP121" s="547" t="s">
        <v>396</v>
      </c>
      <c r="CQ121" s="546">
        <v>7984751</v>
      </c>
      <c r="CR121" s="546">
        <v>5073063</v>
      </c>
      <c r="CS121" s="546">
        <v>5230968</v>
      </c>
      <c r="CT121" s="546">
        <v>2753783</v>
      </c>
      <c r="CU121" s="546">
        <f t="shared" si="131"/>
        <v>7984.7510000000002</v>
      </c>
      <c r="CV121" s="546">
        <f t="shared" si="132"/>
        <v>5073.0630000000001</v>
      </c>
      <c r="CW121" s="546">
        <f t="shared" si="133"/>
        <v>5230.9679999999998</v>
      </c>
      <c r="CX121" s="546">
        <f t="shared" si="134"/>
        <v>2753.7829999999999</v>
      </c>
      <c r="DE121" s="544" t="s">
        <v>572</v>
      </c>
      <c r="DF121" s="545">
        <v>9088640</v>
      </c>
      <c r="DG121" s="545">
        <v>6568354</v>
      </c>
      <c r="DH121" s="545">
        <v>6576259</v>
      </c>
      <c r="DI121" s="545">
        <v>2512381</v>
      </c>
      <c r="DJ121" s="546">
        <f t="shared" si="103"/>
        <v>9088.64</v>
      </c>
      <c r="DK121" s="546">
        <f t="shared" si="104"/>
        <v>6568.3540000000003</v>
      </c>
      <c r="DL121" s="546">
        <f t="shared" si="105"/>
        <v>6576.259</v>
      </c>
      <c r="DM121" s="546">
        <f t="shared" si="106"/>
        <v>2512.3809999999999</v>
      </c>
      <c r="DT121" s="544" t="s">
        <v>572</v>
      </c>
      <c r="DU121" s="545">
        <v>9548395</v>
      </c>
      <c r="DV121" s="545">
        <v>7482334</v>
      </c>
      <c r="DW121" s="545">
        <v>7706369</v>
      </c>
      <c r="DX121" s="545">
        <v>1842026</v>
      </c>
      <c r="DY121" s="546">
        <f t="shared" si="108"/>
        <v>9548.3950000000004</v>
      </c>
      <c r="DZ121" s="546">
        <f t="shared" si="109"/>
        <v>7482.3339999999998</v>
      </c>
      <c r="EA121" s="546">
        <f t="shared" si="110"/>
        <v>7706.3689999999997</v>
      </c>
      <c r="EB121" s="546">
        <f t="shared" si="111"/>
        <v>1842.0260000000001</v>
      </c>
      <c r="EI121" s="547" t="s">
        <v>393</v>
      </c>
      <c r="EJ121" s="546">
        <v>49062583</v>
      </c>
      <c r="EK121" s="546">
        <v>32255000</v>
      </c>
      <c r="EL121" s="546">
        <v>12325000</v>
      </c>
      <c r="EM121" s="548">
        <f t="shared" si="113"/>
        <v>49062.582999999999</v>
      </c>
      <c r="EN121" s="548">
        <f t="shared" si="114"/>
        <v>32255</v>
      </c>
      <c r="EO121" s="548">
        <f t="shared" si="115"/>
        <v>12325</v>
      </c>
      <c r="EW121" s="544" t="s">
        <v>395</v>
      </c>
      <c r="EX121" s="545">
        <v>0</v>
      </c>
      <c r="EY121" s="545">
        <v>88054319</v>
      </c>
      <c r="EZ121" s="545">
        <v>86154319</v>
      </c>
      <c r="FA121" s="545">
        <v>87739399</v>
      </c>
      <c r="FB121" s="545">
        <v>314920</v>
      </c>
      <c r="FC121" s="546">
        <f t="shared" si="135"/>
        <v>0</v>
      </c>
      <c r="FD121" s="546">
        <f t="shared" si="136"/>
        <v>88054.319000000003</v>
      </c>
      <c r="FE121" s="546">
        <f t="shared" si="137"/>
        <v>86154.319000000003</v>
      </c>
      <c r="FF121" s="546">
        <f t="shared" si="138"/>
        <v>87739.399000000005</v>
      </c>
      <c r="FG121" s="546">
        <f t="shared" si="139"/>
        <v>314.92</v>
      </c>
      <c r="FJ121" s="547" t="s">
        <v>580</v>
      </c>
      <c r="FK121" s="546">
        <v>45579020</v>
      </c>
      <c r="FL121" s="548">
        <f t="shared" si="122"/>
        <v>45579.02</v>
      </c>
      <c r="FN121" s="549" t="s">
        <v>393</v>
      </c>
      <c r="FO121" s="550">
        <v>49056000</v>
      </c>
      <c r="FP121" s="550">
        <v>38140000</v>
      </c>
      <c r="FQ121" s="550">
        <v>40390000</v>
      </c>
      <c r="FR121" s="550">
        <f t="shared" si="123"/>
        <v>49056</v>
      </c>
      <c r="FS121" s="550">
        <f t="shared" si="124"/>
        <v>38140</v>
      </c>
      <c r="FT121" s="550">
        <f t="shared" si="125"/>
        <v>40390</v>
      </c>
    </row>
    <row r="122" spans="1:176" ht="15" customHeight="1" x14ac:dyDescent="0.25">
      <c r="A122" s="890" t="s">
        <v>889</v>
      </c>
      <c r="B122" s="544" t="s">
        <v>576</v>
      </c>
      <c r="C122" s="545">
        <v>0</v>
      </c>
      <c r="D122" s="545">
        <v>10000</v>
      </c>
      <c r="E122" s="545">
        <v>0</v>
      </c>
      <c r="F122" s="545">
        <v>10000</v>
      </c>
      <c r="G122" s="545">
        <v>0</v>
      </c>
      <c r="H122" s="546">
        <f t="shared" si="72"/>
        <v>10.42</v>
      </c>
      <c r="I122" s="546">
        <f t="shared" si="73"/>
        <v>0</v>
      </c>
      <c r="J122" s="546">
        <f t="shared" si="74"/>
        <v>10.42</v>
      </c>
      <c r="K122" s="546">
        <f t="shared" si="75"/>
        <v>0</v>
      </c>
      <c r="S122" s="544" t="s">
        <v>575</v>
      </c>
      <c r="T122" s="545">
        <v>10000</v>
      </c>
      <c r="U122" s="545">
        <v>0</v>
      </c>
      <c r="V122" s="545">
        <v>0</v>
      </c>
      <c r="W122" s="545">
        <v>10000</v>
      </c>
      <c r="X122" s="546">
        <f t="shared" si="77"/>
        <v>10.42</v>
      </c>
      <c r="Y122" s="546">
        <f t="shared" si="78"/>
        <v>0</v>
      </c>
      <c r="Z122" s="546">
        <f t="shared" si="79"/>
        <v>0</v>
      </c>
      <c r="AA122" s="546">
        <f t="shared" si="80"/>
        <v>10.42</v>
      </c>
      <c r="AG122" s="544" t="s">
        <v>574</v>
      </c>
      <c r="AH122" s="545">
        <v>10000</v>
      </c>
      <c r="AI122" s="545">
        <v>0</v>
      </c>
      <c r="AJ122" s="545">
        <v>0</v>
      </c>
      <c r="AK122" s="545">
        <v>10000</v>
      </c>
      <c r="AL122" s="545">
        <f t="shared" si="82"/>
        <v>10</v>
      </c>
      <c r="AM122" s="545">
        <f t="shared" si="83"/>
        <v>0</v>
      </c>
      <c r="AN122" s="545">
        <f t="shared" si="84"/>
        <v>0</v>
      </c>
      <c r="AO122" s="545">
        <f t="shared" si="85"/>
        <v>10</v>
      </c>
      <c r="AV122" s="544" t="s">
        <v>397</v>
      </c>
      <c r="AW122" s="545">
        <v>84488</v>
      </c>
      <c r="AX122" s="545">
        <v>0</v>
      </c>
      <c r="AY122" s="545">
        <v>0</v>
      </c>
      <c r="AZ122" s="545">
        <v>84488</v>
      </c>
      <c r="BA122" s="546">
        <f t="shared" si="87"/>
        <v>84.488</v>
      </c>
      <c r="BB122" s="546">
        <f t="shared" si="88"/>
        <v>0</v>
      </c>
      <c r="BC122" s="546">
        <f t="shared" si="89"/>
        <v>0</v>
      </c>
      <c r="BD122" s="546">
        <f t="shared" si="90"/>
        <v>84.488</v>
      </c>
      <c r="BK122" s="544" t="s">
        <v>396</v>
      </c>
      <c r="BL122" s="545">
        <v>8124211</v>
      </c>
      <c r="BM122" s="545">
        <v>3144223</v>
      </c>
      <c r="BN122" s="545">
        <v>3324798</v>
      </c>
      <c r="BO122" s="545">
        <v>4799413</v>
      </c>
      <c r="BP122" s="545">
        <f t="shared" si="92"/>
        <v>8124.2110000000002</v>
      </c>
      <c r="BQ122" s="545">
        <f t="shared" si="93"/>
        <v>3144.223</v>
      </c>
      <c r="BR122" s="545">
        <f t="shared" si="94"/>
        <v>3324.7979999999998</v>
      </c>
      <c r="BS122" s="545">
        <f t="shared" si="95"/>
        <v>4799.4129999999996</v>
      </c>
      <c r="BZ122" s="544" t="s">
        <v>396</v>
      </c>
      <c r="CA122" s="545">
        <v>7911155</v>
      </c>
      <c r="CB122" s="545">
        <v>3999758</v>
      </c>
      <c r="CC122" s="545">
        <v>4235433</v>
      </c>
      <c r="CD122" s="545">
        <v>3675722</v>
      </c>
      <c r="CE122" s="545">
        <f t="shared" si="97"/>
        <v>7911.1549999999997</v>
      </c>
      <c r="CF122" s="545">
        <f t="shared" si="98"/>
        <v>3999.7579999999998</v>
      </c>
      <c r="CG122" s="545">
        <f t="shared" si="99"/>
        <v>4235.433</v>
      </c>
      <c r="CH122" s="545">
        <f t="shared" si="100"/>
        <v>3675.7220000000002</v>
      </c>
      <c r="CP122" s="547" t="s">
        <v>397</v>
      </c>
      <c r="CQ122" s="546">
        <v>285389</v>
      </c>
      <c r="CR122" s="546">
        <v>200901</v>
      </c>
      <c r="CS122" s="546">
        <v>200901</v>
      </c>
      <c r="CT122" s="546">
        <v>84488</v>
      </c>
      <c r="CU122" s="546">
        <f t="shared" si="131"/>
        <v>285.38900000000001</v>
      </c>
      <c r="CV122" s="546">
        <f t="shared" si="132"/>
        <v>200.90100000000001</v>
      </c>
      <c r="CW122" s="546">
        <f t="shared" si="133"/>
        <v>200.90100000000001</v>
      </c>
      <c r="CX122" s="546">
        <f t="shared" si="134"/>
        <v>84.488</v>
      </c>
      <c r="DE122" s="544" t="s">
        <v>396</v>
      </c>
      <c r="DF122" s="545">
        <v>8803251</v>
      </c>
      <c r="DG122" s="545">
        <v>6367453</v>
      </c>
      <c r="DH122" s="545">
        <v>6375358</v>
      </c>
      <c r="DI122" s="545">
        <v>2427893</v>
      </c>
      <c r="DJ122" s="546">
        <f t="shared" si="103"/>
        <v>8803.2510000000002</v>
      </c>
      <c r="DK122" s="546">
        <f t="shared" si="104"/>
        <v>6367.4530000000004</v>
      </c>
      <c r="DL122" s="546">
        <f t="shared" si="105"/>
        <v>6375.3580000000002</v>
      </c>
      <c r="DM122" s="546">
        <f t="shared" si="106"/>
        <v>2427.893</v>
      </c>
      <c r="DT122" s="544" t="s">
        <v>396</v>
      </c>
      <c r="DU122" s="545">
        <v>9263006</v>
      </c>
      <c r="DV122" s="545">
        <v>7281433</v>
      </c>
      <c r="DW122" s="545">
        <v>7505468</v>
      </c>
      <c r="DX122" s="545">
        <v>1757538</v>
      </c>
      <c r="DY122" s="546">
        <f t="shared" si="108"/>
        <v>9263.0059999999994</v>
      </c>
      <c r="DZ122" s="546">
        <f t="shared" si="109"/>
        <v>7281.433</v>
      </c>
      <c r="EA122" s="546">
        <f t="shared" si="110"/>
        <v>7505.4679999999998</v>
      </c>
      <c r="EB122" s="546">
        <f t="shared" si="111"/>
        <v>1757.538</v>
      </c>
      <c r="EI122" s="547" t="s">
        <v>394</v>
      </c>
      <c r="EJ122" s="546">
        <v>736322684</v>
      </c>
      <c r="EK122" s="546">
        <v>712944936</v>
      </c>
      <c r="EL122" s="546">
        <v>419587089</v>
      </c>
      <c r="EM122" s="548">
        <f t="shared" si="113"/>
        <v>736322.68400000001</v>
      </c>
      <c r="EN122" s="548">
        <f t="shared" si="114"/>
        <v>712944.93599999999</v>
      </c>
      <c r="EO122" s="548">
        <f t="shared" si="115"/>
        <v>419587.08899999998</v>
      </c>
      <c r="EW122" s="544" t="s">
        <v>572</v>
      </c>
      <c r="EX122" s="545">
        <v>0</v>
      </c>
      <c r="EY122" s="545">
        <v>9778205</v>
      </c>
      <c r="EZ122" s="545">
        <v>9697410</v>
      </c>
      <c r="FA122" s="545">
        <v>9778205</v>
      </c>
      <c r="FB122" s="545">
        <v>0</v>
      </c>
      <c r="FC122" s="546">
        <f t="shared" si="135"/>
        <v>0</v>
      </c>
      <c r="FD122" s="546">
        <f t="shared" si="136"/>
        <v>9778.2049999999999</v>
      </c>
      <c r="FE122" s="546">
        <f t="shared" si="137"/>
        <v>9697.41</v>
      </c>
      <c r="FF122" s="546">
        <f t="shared" si="138"/>
        <v>9778.2049999999999</v>
      </c>
      <c r="FG122" s="546">
        <f t="shared" si="139"/>
        <v>0</v>
      </c>
      <c r="FJ122" s="547" t="s">
        <v>401</v>
      </c>
      <c r="FK122" s="546">
        <v>45579020</v>
      </c>
      <c r="FL122" s="548">
        <f t="shared" si="122"/>
        <v>45579.02</v>
      </c>
      <c r="FN122" s="549" t="s">
        <v>394</v>
      </c>
      <c r="FO122" s="550">
        <v>736432759</v>
      </c>
      <c r="FP122" s="550">
        <v>736432759</v>
      </c>
      <c r="FQ122" s="550">
        <v>736432759</v>
      </c>
      <c r="FR122" s="550">
        <f t="shared" si="123"/>
        <v>736432.75899999996</v>
      </c>
      <c r="FS122" s="550">
        <f t="shared" si="124"/>
        <v>736432.75899999996</v>
      </c>
      <c r="FT122" s="550">
        <f t="shared" si="125"/>
        <v>736432.75899999996</v>
      </c>
    </row>
    <row r="123" spans="1:176" ht="15" customHeight="1" x14ac:dyDescent="0.25">
      <c r="A123" s="890" t="s">
        <v>431</v>
      </c>
      <c r="B123" s="544" t="s">
        <v>398</v>
      </c>
      <c r="C123" s="545">
        <v>112759000</v>
      </c>
      <c r="D123" s="545">
        <v>112759000</v>
      </c>
      <c r="E123" s="545">
        <v>64871798</v>
      </c>
      <c r="F123" s="545">
        <v>47887202</v>
      </c>
      <c r="G123" s="545">
        <v>4940179</v>
      </c>
      <c r="H123" s="546">
        <f t="shared" si="72"/>
        <v>117494.878</v>
      </c>
      <c r="I123" s="546">
        <f t="shared" si="73"/>
        <v>67596.413516000001</v>
      </c>
      <c r="J123" s="546">
        <f t="shared" si="74"/>
        <v>49898.464483999996</v>
      </c>
      <c r="K123" s="546">
        <f t="shared" si="75"/>
        <v>5147.666518</v>
      </c>
      <c r="S123" s="544" t="s">
        <v>576</v>
      </c>
      <c r="T123" s="545">
        <v>10000</v>
      </c>
      <c r="U123" s="545">
        <v>0</v>
      </c>
      <c r="V123" s="545">
        <v>0</v>
      </c>
      <c r="W123" s="545">
        <v>10000</v>
      </c>
      <c r="X123" s="546">
        <f t="shared" si="77"/>
        <v>10.42</v>
      </c>
      <c r="Y123" s="546">
        <f t="shared" si="78"/>
        <v>0</v>
      </c>
      <c r="Z123" s="546">
        <f t="shared" si="79"/>
        <v>0</v>
      </c>
      <c r="AA123" s="546">
        <f t="shared" si="80"/>
        <v>10.42</v>
      </c>
      <c r="AG123" s="544" t="s">
        <v>575</v>
      </c>
      <c r="AH123" s="545">
        <v>10000</v>
      </c>
      <c r="AI123" s="545">
        <v>0</v>
      </c>
      <c r="AJ123" s="545">
        <v>0</v>
      </c>
      <c r="AK123" s="545">
        <v>10000</v>
      </c>
      <c r="AL123" s="545">
        <f t="shared" si="82"/>
        <v>10</v>
      </c>
      <c r="AM123" s="545">
        <f t="shared" si="83"/>
        <v>0</v>
      </c>
      <c r="AN123" s="545">
        <f t="shared" si="84"/>
        <v>0</v>
      </c>
      <c r="AO123" s="545">
        <f t="shared" si="85"/>
        <v>10</v>
      </c>
      <c r="AV123" s="544" t="s">
        <v>574</v>
      </c>
      <c r="AW123" s="545">
        <v>10000</v>
      </c>
      <c r="AX123" s="545">
        <v>0</v>
      </c>
      <c r="AY123" s="545">
        <v>0</v>
      </c>
      <c r="AZ123" s="545">
        <v>10000</v>
      </c>
      <c r="BA123" s="546">
        <f t="shared" si="87"/>
        <v>10</v>
      </c>
      <c r="BB123" s="546">
        <f t="shared" si="88"/>
        <v>0</v>
      </c>
      <c r="BC123" s="546">
        <f t="shared" si="89"/>
        <v>0</v>
      </c>
      <c r="BD123" s="546">
        <f t="shared" si="90"/>
        <v>10</v>
      </c>
      <c r="BK123" s="544" t="s">
        <v>397</v>
      </c>
      <c r="BL123" s="545">
        <v>285389</v>
      </c>
      <c r="BM123" s="545">
        <v>200901</v>
      </c>
      <c r="BN123" s="545">
        <v>200901</v>
      </c>
      <c r="BO123" s="545">
        <v>84488</v>
      </c>
      <c r="BP123" s="545">
        <f t="shared" si="92"/>
        <v>285.38900000000001</v>
      </c>
      <c r="BQ123" s="545">
        <f t="shared" si="93"/>
        <v>200.90100000000001</v>
      </c>
      <c r="BR123" s="545">
        <f t="shared" si="94"/>
        <v>200.90100000000001</v>
      </c>
      <c r="BS123" s="545">
        <f t="shared" si="95"/>
        <v>84.488</v>
      </c>
      <c r="BZ123" s="544" t="s">
        <v>397</v>
      </c>
      <c r="CA123" s="545">
        <v>285389</v>
      </c>
      <c r="CB123" s="545">
        <v>200901</v>
      </c>
      <c r="CC123" s="545">
        <v>200901</v>
      </c>
      <c r="CD123" s="545">
        <v>84488</v>
      </c>
      <c r="CE123" s="545">
        <f t="shared" si="97"/>
        <v>285.38900000000001</v>
      </c>
      <c r="CF123" s="545">
        <f t="shared" si="98"/>
        <v>200.90100000000001</v>
      </c>
      <c r="CG123" s="545">
        <f t="shared" si="99"/>
        <v>200.90100000000001</v>
      </c>
      <c r="CH123" s="545">
        <f t="shared" si="100"/>
        <v>84.488</v>
      </c>
      <c r="CP123" s="547" t="s">
        <v>574</v>
      </c>
      <c r="CQ123" s="546">
        <v>204972000</v>
      </c>
      <c r="CR123" s="546">
        <v>204961523</v>
      </c>
      <c r="CS123" s="546">
        <v>204961523</v>
      </c>
      <c r="CT123" s="546">
        <v>10477</v>
      </c>
      <c r="CU123" s="546">
        <f t="shared" si="131"/>
        <v>204972</v>
      </c>
      <c r="CV123" s="546">
        <f t="shared" si="132"/>
        <v>204961.52299999999</v>
      </c>
      <c r="CW123" s="546">
        <f t="shared" si="133"/>
        <v>204961.52299999999</v>
      </c>
      <c r="CX123" s="546">
        <f t="shared" si="134"/>
        <v>10.477</v>
      </c>
      <c r="DE123" s="544" t="s">
        <v>397</v>
      </c>
      <c r="DF123" s="545">
        <v>285389</v>
      </c>
      <c r="DG123" s="545">
        <v>200901</v>
      </c>
      <c r="DH123" s="545">
        <v>200901</v>
      </c>
      <c r="DI123" s="545">
        <v>84488</v>
      </c>
      <c r="DJ123" s="546">
        <f t="shared" si="103"/>
        <v>285.38900000000001</v>
      </c>
      <c r="DK123" s="546">
        <f t="shared" si="104"/>
        <v>200.90100000000001</v>
      </c>
      <c r="DL123" s="546">
        <f t="shared" si="105"/>
        <v>200.90100000000001</v>
      </c>
      <c r="DM123" s="546">
        <f t="shared" si="106"/>
        <v>84.488</v>
      </c>
      <c r="DT123" s="544" t="s">
        <v>397</v>
      </c>
      <c r="DU123" s="545">
        <v>285389</v>
      </c>
      <c r="DV123" s="545">
        <v>200901</v>
      </c>
      <c r="DW123" s="545">
        <v>200901</v>
      </c>
      <c r="DX123" s="545">
        <v>84488</v>
      </c>
      <c r="DY123" s="546">
        <f t="shared" si="108"/>
        <v>285.38900000000001</v>
      </c>
      <c r="DZ123" s="546">
        <f t="shared" si="109"/>
        <v>200.90100000000001</v>
      </c>
      <c r="EA123" s="546">
        <f t="shared" si="110"/>
        <v>200.90100000000001</v>
      </c>
      <c r="EB123" s="546">
        <f t="shared" si="111"/>
        <v>84.488</v>
      </c>
      <c r="EI123" s="547" t="s">
        <v>395</v>
      </c>
      <c r="EJ123" s="546">
        <v>92228500</v>
      </c>
      <c r="EK123" s="546">
        <v>85228500</v>
      </c>
      <c r="EL123" s="546">
        <v>85228499</v>
      </c>
      <c r="EM123" s="548">
        <f t="shared" si="113"/>
        <v>92228.5</v>
      </c>
      <c r="EN123" s="548">
        <f t="shared" si="114"/>
        <v>85228.5</v>
      </c>
      <c r="EO123" s="548">
        <f t="shared" si="115"/>
        <v>85228.498999999996</v>
      </c>
      <c r="EW123" s="544" t="s">
        <v>396</v>
      </c>
      <c r="EX123" s="545">
        <v>0</v>
      </c>
      <c r="EY123" s="545">
        <v>9577304</v>
      </c>
      <c r="EZ123" s="545">
        <v>9496509</v>
      </c>
      <c r="FA123" s="545">
        <v>9577304</v>
      </c>
      <c r="FB123" s="545">
        <v>0</v>
      </c>
      <c r="FC123" s="546">
        <f t="shared" si="135"/>
        <v>0</v>
      </c>
      <c r="FD123" s="546">
        <f t="shared" si="136"/>
        <v>9577.3040000000001</v>
      </c>
      <c r="FE123" s="546">
        <f t="shared" si="137"/>
        <v>9496.509</v>
      </c>
      <c r="FF123" s="546">
        <f t="shared" si="138"/>
        <v>9577.3040000000001</v>
      </c>
      <c r="FG123" s="546">
        <f t="shared" si="139"/>
        <v>0</v>
      </c>
      <c r="FJ123" s="547" t="s">
        <v>582</v>
      </c>
      <c r="FK123" s="546">
        <v>45579020</v>
      </c>
      <c r="FL123" s="548">
        <f t="shared" si="122"/>
        <v>45579.02</v>
      </c>
      <c r="FN123" s="549" t="s">
        <v>395</v>
      </c>
      <c r="FO123" s="550">
        <v>93948347</v>
      </c>
      <c r="FP123" s="550">
        <v>93948347</v>
      </c>
      <c r="FQ123" s="550">
        <v>93948347</v>
      </c>
      <c r="FR123" s="550">
        <f t="shared" si="123"/>
        <v>93948.346999999994</v>
      </c>
      <c r="FS123" s="550">
        <f t="shared" si="124"/>
        <v>93948.346999999994</v>
      </c>
      <c r="FT123" s="550">
        <f t="shared" si="125"/>
        <v>93948.346999999994</v>
      </c>
    </row>
    <row r="124" spans="1:176" ht="15" customHeight="1" x14ac:dyDescent="0.25">
      <c r="A124" s="890" t="s">
        <v>888</v>
      </c>
      <c r="B124" s="544" t="s">
        <v>399</v>
      </c>
      <c r="C124" s="545">
        <v>112759000</v>
      </c>
      <c r="D124" s="545">
        <v>112759000</v>
      </c>
      <c r="E124" s="545">
        <v>64871798</v>
      </c>
      <c r="F124" s="545">
        <v>47887202</v>
      </c>
      <c r="G124" s="545">
        <v>4940179</v>
      </c>
      <c r="H124" s="546">
        <f t="shared" si="72"/>
        <v>117494.878</v>
      </c>
      <c r="I124" s="546">
        <f t="shared" si="73"/>
        <v>67596.413516000001</v>
      </c>
      <c r="J124" s="546">
        <f t="shared" si="74"/>
        <v>49898.464483999996</v>
      </c>
      <c r="K124" s="546">
        <f t="shared" si="75"/>
        <v>5147.666518</v>
      </c>
      <c r="S124" s="544" t="s">
        <v>398</v>
      </c>
      <c r="T124" s="545">
        <v>112759000</v>
      </c>
      <c r="U124" s="545">
        <v>8976712</v>
      </c>
      <c r="V124" s="545">
        <v>64871798</v>
      </c>
      <c r="W124" s="545">
        <v>47887202</v>
      </c>
      <c r="X124" s="546">
        <f t="shared" si="77"/>
        <v>117494.878</v>
      </c>
      <c r="Y124" s="546">
        <f t="shared" si="78"/>
        <v>9353.7339040000006</v>
      </c>
      <c r="Z124" s="546">
        <f t="shared" si="79"/>
        <v>67596.413516000001</v>
      </c>
      <c r="AA124" s="546">
        <f t="shared" si="80"/>
        <v>49898.464483999996</v>
      </c>
      <c r="AG124" s="544" t="s">
        <v>576</v>
      </c>
      <c r="AH124" s="545">
        <v>10000</v>
      </c>
      <c r="AI124" s="545">
        <v>0</v>
      </c>
      <c r="AJ124" s="545">
        <v>0</v>
      </c>
      <c r="AK124" s="545">
        <v>10000</v>
      </c>
      <c r="AL124" s="545">
        <f t="shared" si="82"/>
        <v>10</v>
      </c>
      <c r="AM124" s="545">
        <f t="shared" si="83"/>
        <v>0</v>
      </c>
      <c r="AN124" s="545">
        <f t="shared" si="84"/>
        <v>0</v>
      </c>
      <c r="AO124" s="545">
        <f t="shared" si="85"/>
        <v>10</v>
      </c>
      <c r="AV124" s="544" t="s">
        <v>575</v>
      </c>
      <c r="AW124" s="545">
        <v>10000</v>
      </c>
      <c r="AX124" s="545">
        <v>0</v>
      </c>
      <c r="AY124" s="545">
        <v>0</v>
      </c>
      <c r="AZ124" s="545">
        <v>10000</v>
      </c>
      <c r="BA124" s="546">
        <f t="shared" si="87"/>
        <v>10</v>
      </c>
      <c r="BB124" s="546">
        <f t="shared" si="88"/>
        <v>0</v>
      </c>
      <c r="BC124" s="546">
        <f t="shared" si="89"/>
        <v>0</v>
      </c>
      <c r="BD124" s="546">
        <f t="shared" si="90"/>
        <v>10</v>
      </c>
      <c r="BK124" s="544" t="s">
        <v>574</v>
      </c>
      <c r="BL124" s="545">
        <v>10000</v>
      </c>
      <c r="BM124" s="545">
        <v>0</v>
      </c>
      <c r="BN124" s="545">
        <v>0</v>
      </c>
      <c r="BO124" s="545">
        <v>10000</v>
      </c>
      <c r="BP124" s="545">
        <f t="shared" si="92"/>
        <v>10</v>
      </c>
      <c r="BQ124" s="545">
        <f t="shared" si="93"/>
        <v>0</v>
      </c>
      <c r="BR124" s="545">
        <f t="shared" si="94"/>
        <v>0</v>
      </c>
      <c r="BS124" s="545">
        <f t="shared" si="95"/>
        <v>10</v>
      </c>
      <c r="BZ124" s="544" t="s">
        <v>574</v>
      </c>
      <c r="CA124" s="545">
        <v>10000</v>
      </c>
      <c r="CB124" s="545">
        <v>0</v>
      </c>
      <c r="CC124" s="545">
        <v>0</v>
      </c>
      <c r="CD124" s="545">
        <v>10000</v>
      </c>
      <c r="CE124" s="545">
        <f t="shared" si="97"/>
        <v>10</v>
      </c>
      <c r="CF124" s="545">
        <f t="shared" si="98"/>
        <v>0</v>
      </c>
      <c r="CG124" s="545">
        <f t="shared" si="99"/>
        <v>0</v>
      </c>
      <c r="CH124" s="545">
        <f t="shared" si="100"/>
        <v>10</v>
      </c>
      <c r="CP124" s="547" t="s">
        <v>575</v>
      </c>
      <c r="CQ124" s="546">
        <v>204972000</v>
      </c>
      <c r="CR124" s="546">
        <v>204961523</v>
      </c>
      <c r="CS124" s="546">
        <v>204961523</v>
      </c>
      <c r="CT124" s="546">
        <v>10477</v>
      </c>
      <c r="CU124" s="546">
        <f t="shared" si="131"/>
        <v>204972</v>
      </c>
      <c r="CV124" s="546">
        <f t="shared" si="132"/>
        <v>204961.52299999999</v>
      </c>
      <c r="CW124" s="546">
        <f t="shared" si="133"/>
        <v>204961.52299999999</v>
      </c>
      <c r="CX124" s="546">
        <f t="shared" si="134"/>
        <v>10.477</v>
      </c>
      <c r="DE124" s="544" t="s">
        <v>574</v>
      </c>
      <c r="DF124" s="545">
        <v>204972000</v>
      </c>
      <c r="DG124" s="545">
        <v>204961523</v>
      </c>
      <c r="DH124" s="545">
        <v>204961523</v>
      </c>
      <c r="DI124" s="545">
        <v>10477</v>
      </c>
      <c r="DJ124" s="546">
        <f t="shared" si="103"/>
        <v>204972</v>
      </c>
      <c r="DK124" s="546">
        <f t="shared" si="104"/>
        <v>204961.52299999999</v>
      </c>
      <c r="DL124" s="546">
        <f t="shared" si="105"/>
        <v>204961.52299999999</v>
      </c>
      <c r="DM124" s="546">
        <f t="shared" si="106"/>
        <v>10.477</v>
      </c>
      <c r="DT124" s="544" t="s">
        <v>574</v>
      </c>
      <c r="DU124" s="545">
        <v>204972000</v>
      </c>
      <c r="DV124" s="545">
        <v>204961523</v>
      </c>
      <c r="DW124" s="545">
        <v>204961523</v>
      </c>
      <c r="DX124" s="545">
        <v>10477</v>
      </c>
      <c r="DY124" s="546">
        <f t="shared" si="108"/>
        <v>204972</v>
      </c>
      <c r="DZ124" s="546">
        <f t="shared" si="109"/>
        <v>204961.52299999999</v>
      </c>
      <c r="EA124" s="546">
        <f t="shared" si="110"/>
        <v>204961.52299999999</v>
      </c>
      <c r="EB124" s="546">
        <f t="shared" si="111"/>
        <v>10.477</v>
      </c>
      <c r="EI124" s="547" t="s">
        <v>572</v>
      </c>
      <c r="EJ124" s="546">
        <v>10463245</v>
      </c>
      <c r="EK124" s="546">
        <v>8638715</v>
      </c>
      <c r="EL124" s="546">
        <v>8630810</v>
      </c>
      <c r="EM124" s="548">
        <f t="shared" si="113"/>
        <v>10463.245000000001</v>
      </c>
      <c r="EN124" s="548">
        <f t="shared" si="114"/>
        <v>8638.7150000000001</v>
      </c>
      <c r="EO124" s="548">
        <f t="shared" si="115"/>
        <v>8630.81</v>
      </c>
      <c r="EW124" s="544" t="s">
        <v>397</v>
      </c>
      <c r="EX124" s="545">
        <v>0</v>
      </c>
      <c r="EY124" s="545">
        <v>200901</v>
      </c>
      <c r="EZ124" s="545">
        <v>200901</v>
      </c>
      <c r="FA124" s="545">
        <v>200901</v>
      </c>
      <c r="FB124" s="545">
        <v>0</v>
      </c>
      <c r="FC124" s="546">
        <f t="shared" si="135"/>
        <v>0</v>
      </c>
      <c r="FD124" s="546">
        <f t="shared" si="136"/>
        <v>200.90100000000001</v>
      </c>
      <c r="FE124" s="546">
        <f t="shared" si="137"/>
        <v>200.90100000000001</v>
      </c>
      <c r="FF124" s="546">
        <f t="shared" si="138"/>
        <v>200.90100000000001</v>
      </c>
      <c r="FG124" s="546">
        <f t="shared" si="139"/>
        <v>0</v>
      </c>
      <c r="FJ124" s="547" t="s">
        <v>881</v>
      </c>
      <c r="FK124" s="546">
        <v>618892416</v>
      </c>
      <c r="FL124" s="548">
        <f t="shared" si="122"/>
        <v>618892.41599999997</v>
      </c>
      <c r="FN124" s="549" t="s">
        <v>572</v>
      </c>
      <c r="FO124" s="550">
        <v>17690188</v>
      </c>
      <c r="FP124" s="550">
        <v>17511632</v>
      </c>
      <c r="FQ124" s="550">
        <v>17584522</v>
      </c>
      <c r="FR124" s="550">
        <f t="shared" si="123"/>
        <v>17690.187999999998</v>
      </c>
      <c r="FS124" s="550">
        <f t="shared" si="124"/>
        <v>17511.632000000001</v>
      </c>
      <c r="FT124" s="550">
        <f t="shared" si="125"/>
        <v>17584.522000000001</v>
      </c>
    </row>
    <row r="125" spans="1:176" ht="15" customHeight="1" x14ac:dyDescent="0.25">
      <c r="A125" s="890" t="s">
        <v>889</v>
      </c>
      <c r="B125" s="544" t="s">
        <v>577</v>
      </c>
      <c r="C125" s="545">
        <v>10000</v>
      </c>
      <c r="D125" s="545">
        <v>10000</v>
      </c>
      <c r="E125" s="545">
        <v>0</v>
      </c>
      <c r="F125" s="545">
        <v>10000</v>
      </c>
      <c r="G125" s="545">
        <v>0</v>
      </c>
      <c r="H125" s="546">
        <f t="shared" si="72"/>
        <v>10.42</v>
      </c>
      <c r="I125" s="546">
        <f t="shared" si="73"/>
        <v>0</v>
      </c>
      <c r="J125" s="546">
        <f t="shared" si="74"/>
        <v>10.42</v>
      </c>
      <c r="K125" s="546">
        <f t="shared" si="75"/>
        <v>0</v>
      </c>
      <c r="S125" s="544" t="s">
        <v>399</v>
      </c>
      <c r="T125" s="545">
        <v>112759000</v>
      </c>
      <c r="U125" s="545">
        <v>8976712</v>
      </c>
      <c r="V125" s="545">
        <v>64871798</v>
      </c>
      <c r="W125" s="545">
        <v>47887202</v>
      </c>
      <c r="X125" s="546">
        <f t="shared" si="77"/>
        <v>117494.878</v>
      </c>
      <c r="Y125" s="546">
        <f t="shared" si="78"/>
        <v>9353.7339040000006</v>
      </c>
      <c r="Z125" s="546">
        <f t="shared" si="79"/>
        <v>67596.413516000001</v>
      </c>
      <c r="AA125" s="546">
        <f t="shared" si="80"/>
        <v>49898.464483999996</v>
      </c>
      <c r="AG125" s="544" t="s">
        <v>398</v>
      </c>
      <c r="AH125" s="545">
        <v>1554851000</v>
      </c>
      <c r="AI125" s="545">
        <v>16735114</v>
      </c>
      <c r="AJ125" s="545">
        <v>64871798</v>
      </c>
      <c r="AK125" s="545">
        <v>1489979202</v>
      </c>
      <c r="AL125" s="545">
        <f t="shared" si="82"/>
        <v>1554851</v>
      </c>
      <c r="AM125" s="545">
        <f t="shared" si="83"/>
        <v>16735.114000000001</v>
      </c>
      <c r="AN125" s="545">
        <f t="shared" si="84"/>
        <v>64871.798000000003</v>
      </c>
      <c r="AO125" s="545">
        <f t="shared" si="85"/>
        <v>1489979.202</v>
      </c>
      <c r="AV125" s="544" t="s">
        <v>576</v>
      </c>
      <c r="AW125" s="545">
        <v>10000</v>
      </c>
      <c r="AX125" s="545">
        <v>0</v>
      </c>
      <c r="AY125" s="545">
        <v>0</v>
      </c>
      <c r="AZ125" s="545">
        <v>10000</v>
      </c>
      <c r="BA125" s="546">
        <f t="shared" si="87"/>
        <v>10</v>
      </c>
      <c r="BB125" s="546">
        <f t="shared" si="88"/>
        <v>0</v>
      </c>
      <c r="BC125" s="546">
        <f t="shared" si="89"/>
        <v>0</v>
      </c>
      <c r="BD125" s="546">
        <f t="shared" si="90"/>
        <v>10</v>
      </c>
      <c r="BK125" s="544" t="s">
        <v>575</v>
      </c>
      <c r="BL125" s="545">
        <v>10000</v>
      </c>
      <c r="BM125" s="545">
        <v>0</v>
      </c>
      <c r="BN125" s="545">
        <v>0</v>
      </c>
      <c r="BO125" s="545">
        <v>10000</v>
      </c>
      <c r="BP125" s="545">
        <f t="shared" si="92"/>
        <v>10</v>
      </c>
      <c r="BQ125" s="545">
        <f t="shared" si="93"/>
        <v>0</v>
      </c>
      <c r="BR125" s="545">
        <f t="shared" si="94"/>
        <v>0</v>
      </c>
      <c r="BS125" s="545">
        <f t="shared" si="95"/>
        <v>10</v>
      </c>
      <c r="BZ125" s="544" t="s">
        <v>575</v>
      </c>
      <c r="CA125" s="545">
        <v>10000</v>
      </c>
      <c r="CB125" s="545">
        <v>0</v>
      </c>
      <c r="CC125" s="545">
        <v>0</v>
      </c>
      <c r="CD125" s="545">
        <v>10000</v>
      </c>
      <c r="CE125" s="545">
        <f t="shared" si="97"/>
        <v>10</v>
      </c>
      <c r="CF125" s="545">
        <f t="shared" si="98"/>
        <v>0</v>
      </c>
      <c r="CG125" s="545">
        <f t="shared" si="99"/>
        <v>0</v>
      </c>
      <c r="CH125" s="545">
        <f t="shared" si="100"/>
        <v>10</v>
      </c>
      <c r="CP125" s="547" t="s">
        <v>576</v>
      </c>
      <c r="CQ125" s="546">
        <v>204972000</v>
      </c>
      <c r="CR125" s="546">
        <v>204961523</v>
      </c>
      <c r="CS125" s="546">
        <v>204961523</v>
      </c>
      <c r="CT125" s="546">
        <v>10477</v>
      </c>
      <c r="CU125" s="546">
        <f t="shared" si="131"/>
        <v>204972</v>
      </c>
      <c r="CV125" s="546">
        <f t="shared" si="132"/>
        <v>204961.52299999999</v>
      </c>
      <c r="CW125" s="546">
        <f t="shared" si="133"/>
        <v>204961.52299999999</v>
      </c>
      <c r="CX125" s="546">
        <f t="shared" si="134"/>
        <v>10.477</v>
      </c>
      <c r="DE125" s="544" t="s">
        <v>575</v>
      </c>
      <c r="DF125" s="545">
        <v>204972000</v>
      </c>
      <c r="DG125" s="545">
        <v>204961523</v>
      </c>
      <c r="DH125" s="545">
        <v>204961523</v>
      </c>
      <c r="DI125" s="545">
        <v>10477</v>
      </c>
      <c r="DJ125" s="546">
        <f t="shared" si="103"/>
        <v>204972</v>
      </c>
      <c r="DK125" s="546">
        <f t="shared" si="104"/>
        <v>204961.52299999999</v>
      </c>
      <c r="DL125" s="546">
        <f t="shared" si="105"/>
        <v>204961.52299999999</v>
      </c>
      <c r="DM125" s="546">
        <f t="shared" si="106"/>
        <v>10.477</v>
      </c>
      <c r="DT125" s="544" t="s">
        <v>575</v>
      </c>
      <c r="DU125" s="545">
        <v>204972000</v>
      </c>
      <c r="DV125" s="545">
        <v>204961523</v>
      </c>
      <c r="DW125" s="545">
        <v>204961523</v>
      </c>
      <c r="DX125" s="545">
        <v>10477</v>
      </c>
      <c r="DY125" s="546">
        <f t="shared" si="108"/>
        <v>204972</v>
      </c>
      <c r="DZ125" s="546">
        <f t="shared" si="109"/>
        <v>204961.52299999999</v>
      </c>
      <c r="EA125" s="546">
        <f t="shared" si="110"/>
        <v>204961.52299999999</v>
      </c>
      <c r="EB125" s="546">
        <f t="shared" si="111"/>
        <v>10.477</v>
      </c>
      <c r="EI125" s="547" t="s">
        <v>396</v>
      </c>
      <c r="EJ125" s="546">
        <v>10177856</v>
      </c>
      <c r="EK125" s="546">
        <v>8437814</v>
      </c>
      <c r="EL125" s="546">
        <v>8429909</v>
      </c>
      <c r="EM125" s="548">
        <f t="shared" si="113"/>
        <v>10177.856</v>
      </c>
      <c r="EN125" s="548">
        <f t="shared" si="114"/>
        <v>8437.8140000000003</v>
      </c>
      <c r="EO125" s="548">
        <f t="shared" si="115"/>
        <v>8429.9089999999997</v>
      </c>
      <c r="EW125" s="544" t="s">
        <v>574</v>
      </c>
      <c r="EX125" s="545">
        <v>204972000</v>
      </c>
      <c r="EY125" s="545">
        <v>204972000</v>
      </c>
      <c r="EZ125" s="545">
        <v>204961523</v>
      </c>
      <c r="FA125" s="545">
        <v>204961523</v>
      </c>
      <c r="FB125" s="545">
        <v>10477</v>
      </c>
      <c r="FC125" s="546">
        <f t="shared" si="135"/>
        <v>204972</v>
      </c>
      <c r="FD125" s="546">
        <f t="shared" si="136"/>
        <v>204972</v>
      </c>
      <c r="FE125" s="546">
        <f t="shared" si="137"/>
        <v>204961.52299999999</v>
      </c>
      <c r="FF125" s="546">
        <f t="shared" si="138"/>
        <v>204961.52299999999</v>
      </c>
      <c r="FG125" s="546">
        <f t="shared" si="139"/>
        <v>10.477</v>
      </c>
      <c r="FJ125" s="547" t="s">
        <v>882</v>
      </c>
      <c r="FK125" s="546">
        <v>618892416</v>
      </c>
      <c r="FL125" s="548">
        <f t="shared" si="122"/>
        <v>618892.41599999997</v>
      </c>
      <c r="FN125" s="549" t="s">
        <v>396</v>
      </c>
      <c r="FO125" s="550">
        <v>12285536</v>
      </c>
      <c r="FP125" s="550">
        <v>12212646</v>
      </c>
      <c r="FQ125" s="550">
        <v>12285536</v>
      </c>
      <c r="FR125" s="550">
        <f t="shared" si="123"/>
        <v>12285.536</v>
      </c>
      <c r="FS125" s="550">
        <f t="shared" si="124"/>
        <v>12212.646000000001</v>
      </c>
      <c r="FT125" s="550">
        <f t="shared" si="125"/>
        <v>12285.536</v>
      </c>
    </row>
    <row r="126" spans="1:176" ht="15" customHeight="1" x14ac:dyDescent="0.25">
      <c r="A126" s="890" t="s">
        <v>889</v>
      </c>
      <c r="B126" s="544" t="s">
        <v>502</v>
      </c>
      <c r="C126" s="545">
        <v>112749000</v>
      </c>
      <c r="D126" s="545">
        <v>112749000</v>
      </c>
      <c r="E126" s="545">
        <v>64871798</v>
      </c>
      <c r="F126" s="545">
        <v>47877202</v>
      </c>
      <c r="G126" s="545">
        <v>4940179</v>
      </c>
      <c r="H126" s="546">
        <f t="shared" si="72"/>
        <v>117484.458</v>
      </c>
      <c r="I126" s="546">
        <f t="shared" si="73"/>
        <v>67596.413516000001</v>
      </c>
      <c r="J126" s="546">
        <f t="shared" si="74"/>
        <v>49888.044483999998</v>
      </c>
      <c r="K126" s="546">
        <f t="shared" si="75"/>
        <v>5147.666518</v>
      </c>
      <c r="S126" s="544" t="s">
        <v>577</v>
      </c>
      <c r="T126" s="545">
        <v>10000</v>
      </c>
      <c r="U126" s="545">
        <v>0</v>
      </c>
      <c r="V126" s="545">
        <v>0</v>
      </c>
      <c r="W126" s="545">
        <v>10000</v>
      </c>
      <c r="X126" s="546">
        <f t="shared" si="77"/>
        <v>10.42</v>
      </c>
      <c r="Y126" s="546">
        <f t="shared" si="78"/>
        <v>0</v>
      </c>
      <c r="Z126" s="546">
        <f t="shared" si="79"/>
        <v>0</v>
      </c>
      <c r="AA126" s="546">
        <f t="shared" si="80"/>
        <v>10.42</v>
      </c>
      <c r="AG126" s="544" t="s">
        <v>399</v>
      </c>
      <c r="AH126" s="545">
        <v>717759000</v>
      </c>
      <c r="AI126" s="545">
        <v>16735114</v>
      </c>
      <c r="AJ126" s="545">
        <v>64871798</v>
      </c>
      <c r="AK126" s="545">
        <v>652887202</v>
      </c>
      <c r="AL126" s="545">
        <f t="shared" si="82"/>
        <v>717759</v>
      </c>
      <c r="AM126" s="545">
        <f t="shared" si="83"/>
        <v>16735.114000000001</v>
      </c>
      <c r="AN126" s="545">
        <f t="shared" si="84"/>
        <v>64871.798000000003</v>
      </c>
      <c r="AO126" s="545">
        <f t="shared" si="85"/>
        <v>652887.20200000005</v>
      </c>
      <c r="AV126" s="544" t="s">
        <v>398</v>
      </c>
      <c r="AW126" s="545">
        <v>1554851000</v>
      </c>
      <c r="AX126" s="545">
        <v>23046545</v>
      </c>
      <c r="AY126" s="545">
        <v>66227574</v>
      </c>
      <c r="AZ126" s="545">
        <v>1488623426</v>
      </c>
      <c r="BA126" s="546">
        <f t="shared" si="87"/>
        <v>1554851</v>
      </c>
      <c r="BB126" s="546">
        <f t="shared" si="88"/>
        <v>23046.544999999998</v>
      </c>
      <c r="BC126" s="546">
        <f t="shared" si="89"/>
        <v>66227.573999999993</v>
      </c>
      <c r="BD126" s="546">
        <f t="shared" si="90"/>
        <v>1488623.426</v>
      </c>
      <c r="BK126" s="544" t="s">
        <v>576</v>
      </c>
      <c r="BL126" s="545">
        <v>10000</v>
      </c>
      <c r="BM126" s="545">
        <v>0</v>
      </c>
      <c r="BN126" s="545">
        <v>0</v>
      </c>
      <c r="BO126" s="545">
        <v>10000</v>
      </c>
      <c r="BP126" s="545">
        <f t="shared" si="92"/>
        <v>10</v>
      </c>
      <c r="BQ126" s="545">
        <f t="shared" si="93"/>
        <v>0</v>
      </c>
      <c r="BR126" s="545">
        <f t="shared" si="94"/>
        <v>0</v>
      </c>
      <c r="BS126" s="545">
        <f t="shared" si="95"/>
        <v>10</v>
      </c>
      <c r="BZ126" s="544" t="s">
        <v>576</v>
      </c>
      <c r="CA126" s="545">
        <v>10000</v>
      </c>
      <c r="CB126" s="545">
        <v>0</v>
      </c>
      <c r="CC126" s="545">
        <v>0</v>
      </c>
      <c r="CD126" s="545">
        <v>10000</v>
      </c>
      <c r="CE126" s="545">
        <f t="shared" si="97"/>
        <v>10</v>
      </c>
      <c r="CF126" s="545">
        <f t="shared" si="98"/>
        <v>0</v>
      </c>
      <c r="CG126" s="545">
        <f t="shared" si="99"/>
        <v>0</v>
      </c>
      <c r="CH126" s="545">
        <f t="shared" si="100"/>
        <v>10</v>
      </c>
      <c r="CP126" s="547" t="s">
        <v>398</v>
      </c>
      <c r="CQ126" s="546">
        <v>1554851000</v>
      </c>
      <c r="CR126" s="546">
        <v>545781268</v>
      </c>
      <c r="CS126" s="546">
        <v>570513562</v>
      </c>
      <c r="CT126" s="546">
        <v>984337438</v>
      </c>
      <c r="CU126" s="546">
        <f t="shared" si="131"/>
        <v>1554851</v>
      </c>
      <c r="CV126" s="546">
        <f t="shared" si="132"/>
        <v>545781.26800000004</v>
      </c>
      <c r="CW126" s="546">
        <f t="shared" si="133"/>
        <v>570513.56200000003</v>
      </c>
      <c r="CX126" s="546">
        <f t="shared" si="134"/>
        <v>984337.43799999997</v>
      </c>
      <c r="DE126" s="544" t="s">
        <v>576</v>
      </c>
      <c r="DF126" s="545">
        <v>204972000</v>
      </c>
      <c r="DG126" s="545">
        <v>204961523</v>
      </c>
      <c r="DH126" s="545">
        <v>204961523</v>
      </c>
      <c r="DI126" s="545">
        <v>10477</v>
      </c>
      <c r="DJ126" s="546">
        <f t="shared" si="103"/>
        <v>204972</v>
      </c>
      <c r="DK126" s="546">
        <f t="shared" si="104"/>
        <v>204961.52299999999</v>
      </c>
      <c r="DL126" s="546">
        <f t="shared" si="105"/>
        <v>204961.52299999999</v>
      </c>
      <c r="DM126" s="546">
        <f t="shared" si="106"/>
        <v>10.477</v>
      </c>
      <c r="DT126" s="544" t="s">
        <v>576</v>
      </c>
      <c r="DU126" s="545">
        <v>204972000</v>
      </c>
      <c r="DV126" s="545">
        <v>204961523</v>
      </c>
      <c r="DW126" s="545">
        <v>204961523</v>
      </c>
      <c r="DX126" s="545">
        <v>10477</v>
      </c>
      <c r="DY126" s="546">
        <f t="shared" si="108"/>
        <v>204972</v>
      </c>
      <c r="DZ126" s="546">
        <f t="shared" si="109"/>
        <v>204961.52299999999</v>
      </c>
      <c r="EA126" s="546">
        <f t="shared" si="110"/>
        <v>204961.52299999999</v>
      </c>
      <c r="EB126" s="546">
        <f t="shared" si="111"/>
        <v>10.477</v>
      </c>
      <c r="EI126" s="547" t="s">
        <v>397</v>
      </c>
      <c r="EJ126" s="546">
        <v>285389</v>
      </c>
      <c r="EK126" s="546">
        <v>200901</v>
      </c>
      <c r="EL126" s="546">
        <v>200901</v>
      </c>
      <c r="EM126" s="548">
        <f t="shared" si="113"/>
        <v>285.38900000000001</v>
      </c>
      <c r="EN126" s="548">
        <f t="shared" si="114"/>
        <v>200.90100000000001</v>
      </c>
      <c r="EO126" s="548">
        <f t="shared" si="115"/>
        <v>200.90100000000001</v>
      </c>
      <c r="EW126" s="544" t="s">
        <v>575</v>
      </c>
      <c r="EX126" s="545">
        <v>204972000</v>
      </c>
      <c r="EY126" s="545">
        <v>204972000</v>
      </c>
      <c r="EZ126" s="545">
        <v>204961523</v>
      </c>
      <c r="FA126" s="545">
        <v>204961523</v>
      </c>
      <c r="FB126" s="545">
        <v>10477</v>
      </c>
      <c r="FC126" s="546">
        <f t="shared" si="135"/>
        <v>204972</v>
      </c>
      <c r="FD126" s="546">
        <f t="shared" si="136"/>
        <v>204972</v>
      </c>
      <c r="FE126" s="546">
        <f t="shared" si="137"/>
        <v>204961.52299999999</v>
      </c>
      <c r="FF126" s="546">
        <f t="shared" si="138"/>
        <v>204961.52299999999</v>
      </c>
      <c r="FG126" s="546">
        <f t="shared" si="139"/>
        <v>10.477</v>
      </c>
      <c r="FJ126" s="547" t="s">
        <v>883</v>
      </c>
      <c r="FK126" s="546">
        <v>618892416</v>
      </c>
      <c r="FL126" s="548">
        <f t="shared" si="122"/>
        <v>618892.41599999997</v>
      </c>
      <c r="FN126" s="549" t="s">
        <v>397</v>
      </c>
      <c r="FO126" s="550">
        <v>5404652</v>
      </c>
      <c r="FP126" s="550">
        <v>5298986</v>
      </c>
      <c r="FQ126" s="550">
        <v>5298986</v>
      </c>
      <c r="FR126" s="550">
        <f t="shared" si="123"/>
        <v>5404.652</v>
      </c>
      <c r="FS126" s="550">
        <f t="shared" si="124"/>
        <v>5298.9859999999999</v>
      </c>
      <c r="FT126" s="550">
        <f t="shared" si="125"/>
        <v>5298.9859999999999</v>
      </c>
    </row>
    <row r="127" spans="1:176" ht="15" customHeight="1" x14ac:dyDescent="0.25">
      <c r="A127" s="890" t="s">
        <v>431</v>
      </c>
      <c r="B127" s="544" t="s">
        <v>597</v>
      </c>
      <c r="C127" s="545">
        <v>171178000</v>
      </c>
      <c r="D127" s="545">
        <v>171178000</v>
      </c>
      <c r="E127" s="545">
        <v>46361197</v>
      </c>
      <c r="F127" s="545">
        <v>124816803</v>
      </c>
      <c r="G127" s="545">
        <v>46361197</v>
      </c>
      <c r="H127" s="546">
        <f t="shared" si="72"/>
        <v>178367.476</v>
      </c>
      <c r="I127" s="546">
        <f t="shared" si="73"/>
        <v>48308.367274000004</v>
      </c>
      <c r="J127" s="546">
        <f t="shared" si="74"/>
        <v>130059.10872600001</v>
      </c>
      <c r="K127" s="546">
        <f t="shared" si="75"/>
        <v>48308.367274000004</v>
      </c>
      <c r="S127" s="544" t="s">
        <v>502</v>
      </c>
      <c r="T127" s="545">
        <v>112749000</v>
      </c>
      <c r="U127" s="545">
        <v>8976712</v>
      </c>
      <c r="V127" s="545">
        <v>64871798</v>
      </c>
      <c r="W127" s="545">
        <v>47877202</v>
      </c>
      <c r="X127" s="546">
        <f t="shared" si="77"/>
        <v>117484.458</v>
      </c>
      <c r="Y127" s="546">
        <f t="shared" si="78"/>
        <v>9353.7339040000006</v>
      </c>
      <c r="Z127" s="546">
        <f t="shared" si="79"/>
        <v>67596.413516000001</v>
      </c>
      <c r="AA127" s="546">
        <f t="shared" si="80"/>
        <v>49888.044483999998</v>
      </c>
      <c r="AG127" s="544" t="s">
        <v>577</v>
      </c>
      <c r="AH127" s="545">
        <v>10000</v>
      </c>
      <c r="AI127" s="545">
        <v>0</v>
      </c>
      <c r="AJ127" s="545">
        <v>0</v>
      </c>
      <c r="AK127" s="545">
        <v>10000</v>
      </c>
      <c r="AL127" s="545">
        <f t="shared" si="82"/>
        <v>10</v>
      </c>
      <c r="AM127" s="545">
        <f t="shared" si="83"/>
        <v>0</v>
      </c>
      <c r="AN127" s="545">
        <f t="shared" si="84"/>
        <v>0</v>
      </c>
      <c r="AO127" s="545">
        <f t="shared" si="85"/>
        <v>10</v>
      </c>
      <c r="AV127" s="544" t="s">
        <v>399</v>
      </c>
      <c r="AW127" s="545">
        <v>717759000</v>
      </c>
      <c r="AX127" s="545">
        <v>23046545</v>
      </c>
      <c r="AY127" s="545">
        <v>66227574</v>
      </c>
      <c r="AZ127" s="545">
        <v>651531426</v>
      </c>
      <c r="BA127" s="546">
        <f t="shared" si="87"/>
        <v>717759</v>
      </c>
      <c r="BB127" s="546">
        <f t="shared" si="88"/>
        <v>23046.544999999998</v>
      </c>
      <c r="BC127" s="546">
        <f t="shared" si="89"/>
        <v>66227.573999999993</v>
      </c>
      <c r="BD127" s="546">
        <f t="shared" si="90"/>
        <v>651531.42599999998</v>
      </c>
      <c r="BK127" s="544" t="s">
        <v>398</v>
      </c>
      <c r="BL127" s="545">
        <v>1554851000</v>
      </c>
      <c r="BM127" s="545">
        <v>28393586</v>
      </c>
      <c r="BN127" s="545">
        <v>66227574</v>
      </c>
      <c r="BO127" s="545">
        <v>1488623426</v>
      </c>
      <c r="BP127" s="545">
        <f t="shared" si="92"/>
        <v>1554851</v>
      </c>
      <c r="BQ127" s="545">
        <f t="shared" si="93"/>
        <v>28393.585999999999</v>
      </c>
      <c r="BR127" s="545">
        <f t="shared" si="94"/>
        <v>66227.573999999993</v>
      </c>
      <c r="BS127" s="545">
        <f t="shared" si="95"/>
        <v>1488623.426</v>
      </c>
      <c r="BZ127" s="544" t="s">
        <v>398</v>
      </c>
      <c r="CA127" s="545">
        <v>1554851000</v>
      </c>
      <c r="CB127" s="545">
        <v>294181869</v>
      </c>
      <c r="CC127" s="545">
        <v>326227574</v>
      </c>
      <c r="CD127" s="545">
        <v>1228623426</v>
      </c>
      <c r="CE127" s="545">
        <f t="shared" si="97"/>
        <v>1554851</v>
      </c>
      <c r="CF127" s="545">
        <f t="shared" si="98"/>
        <v>294181.86900000001</v>
      </c>
      <c r="CG127" s="545">
        <f t="shared" si="99"/>
        <v>326227.57400000002</v>
      </c>
      <c r="CH127" s="545">
        <f t="shared" si="100"/>
        <v>1228623.426</v>
      </c>
      <c r="CP127" s="547" t="s">
        <v>399</v>
      </c>
      <c r="CQ127" s="546">
        <v>717759000</v>
      </c>
      <c r="CR127" s="546">
        <v>41495280</v>
      </c>
      <c r="CS127" s="546">
        <v>66227574</v>
      </c>
      <c r="CT127" s="546">
        <v>651531426</v>
      </c>
      <c r="CU127" s="546">
        <f t="shared" si="131"/>
        <v>717759</v>
      </c>
      <c r="CV127" s="546">
        <f t="shared" si="132"/>
        <v>41495.279999999999</v>
      </c>
      <c r="CW127" s="546">
        <f t="shared" si="133"/>
        <v>66227.573999999993</v>
      </c>
      <c r="CX127" s="546">
        <f t="shared" si="134"/>
        <v>651531.42599999998</v>
      </c>
      <c r="DE127" s="544" t="s">
        <v>398</v>
      </c>
      <c r="DF127" s="545">
        <v>1554851000</v>
      </c>
      <c r="DG127" s="545">
        <v>952059609</v>
      </c>
      <c r="DH127" s="545">
        <v>970513270</v>
      </c>
      <c r="DI127" s="545">
        <v>584337730</v>
      </c>
      <c r="DJ127" s="546">
        <f t="shared" si="103"/>
        <v>1554851</v>
      </c>
      <c r="DK127" s="546">
        <f t="shared" si="104"/>
        <v>952059.60900000005</v>
      </c>
      <c r="DL127" s="546">
        <f t="shared" si="105"/>
        <v>970513.27</v>
      </c>
      <c r="DM127" s="546">
        <f t="shared" si="106"/>
        <v>584337.73</v>
      </c>
      <c r="DT127" s="544" t="s">
        <v>398</v>
      </c>
      <c r="DU127" s="545">
        <v>1774851000</v>
      </c>
      <c r="DV127" s="545">
        <v>958291674</v>
      </c>
      <c r="DW127" s="545">
        <v>992080603</v>
      </c>
      <c r="DX127" s="545">
        <v>782770397</v>
      </c>
      <c r="DY127" s="546">
        <f t="shared" si="108"/>
        <v>1774851</v>
      </c>
      <c r="DZ127" s="546">
        <f t="shared" si="109"/>
        <v>958291.674</v>
      </c>
      <c r="EA127" s="546">
        <f t="shared" si="110"/>
        <v>992080.603</v>
      </c>
      <c r="EB127" s="546">
        <f t="shared" si="111"/>
        <v>782770.397</v>
      </c>
      <c r="EI127" s="547" t="s">
        <v>574</v>
      </c>
      <c r="EJ127" s="546">
        <v>204972000</v>
      </c>
      <c r="EK127" s="546">
        <v>204961523</v>
      </c>
      <c r="EL127" s="546">
        <v>204961523</v>
      </c>
      <c r="EM127" s="548">
        <f t="shared" si="113"/>
        <v>204972</v>
      </c>
      <c r="EN127" s="548">
        <f t="shared" si="114"/>
        <v>204961.52299999999</v>
      </c>
      <c r="EO127" s="548">
        <f t="shared" si="115"/>
        <v>204961.52299999999</v>
      </c>
      <c r="EW127" s="544" t="s">
        <v>576</v>
      </c>
      <c r="EX127" s="545">
        <v>0</v>
      </c>
      <c r="EY127" s="545">
        <v>204972000</v>
      </c>
      <c r="EZ127" s="545">
        <v>204961523</v>
      </c>
      <c r="FA127" s="545">
        <v>204961523</v>
      </c>
      <c r="FB127" s="545">
        <v>10477</v>
      </c>
      <c r="FC127" s="546">
        <f t="shared" si="135"/>
        <v>0</v>
      </c>
      <c r="FD127" s="546">
        <f t="shared" si="136"/>
        <v>204972</v>
      </c>
      <c r="FE127" s="546">
        <f t="shared" si="137"/>
        <v>204961.52299999999</v>
      </c>
      <c r="FF127" s="546">
        <f t="shared" si="138"/>
        <v>204961.52299999999</v>
      </c>
      <c r="FG127" s="546">
        <f t="shared" si="139"/>
        <v>10.477</v>
      </c>
      <c r="FK127" s="546">
        <f>SUM(FK3:FK126)</f>
        <v>16773691789</v>
      </c>
      <c r="FN127" s="549" t="s">
        <v>574</v>
      </c>
      <c r="FO127" s="550">
        <v>585380000</v>
      </c>
      <c r="FP127" s="550">
        <v>585116303</v>
      </c>
      <c r="FQ127" s="550">
        <v>585370519</v>
      </c>
      <c r="FR127" s="550">
        <f t="shared" si="123"/>
        <v>585380</v>
      </c>
      <c r="FS127" s="550">
        <f t="shared" si="124"/>
        <v>585116.30299999996</v>
      </c>
      <c r="FT127" s="550">
        <f t="shared" si="125"/>
        <v>585370.51899999997</v>
      </c>
    </row>
    <row r="128" spans="1:176" ht="15" customHeight="1" x14ac:dyDescent="0.25">
      <c r="A128" s="890" t="s">
        <v>888</v>
      </c>
      <c r="B128" s="544" t="s">
        <v>598</v>
      </c>
      <c r="C128" s="545">
        <v>171178000</v>
      </c>
      <c r="D128" s="545">
        <v>171178000</v>
      </c>
      <c r="E128" s="545">
        <v>46361197</v>
      </c>
      <c r="F128" s="545">
        <v>124816803</v>
      </c>
      <c r="G128" s="545">
        <v>46361197</v>
      </c>
      <c r="H128" s="546">
        <f t="shared" si="72"/>
        <v>178367.476</v>
      </c>
      <c r="I128" s="546">
        <f t="shared" si="73"/>
        <v>48308.367274000004</v>
      </c>
      <c r="J128" s="546">
        <f t="shared" si="74"/>
        <v>130059.10872600001</v>
      </c>
      <c r="K128" s="546">
        <f t="shared" si="75"/>
        <v>48308.367274000004</v>
      </c>
      <c r="S128" s="544" t="s">
        <v>597</v>
      </c>
      <c r="T128" s="545">
        <v>171178000</v>
      </c>
      <c r="U128" s="545">
        <v>60578302</v>
      </c>
      <c r="V128" s="545">
        <v>60578302</v>
      </c>
      <c r="W128" s="545">
        <v>110599698</v>
      </c>
      <c r="X128" s="546">
        <f t="shared" si="77"/>
        <v>178367.476</v>
      </c>
      <c r="Y128" s="546">
        <f t="shared" si="78"/>
        <v>63122.590684000003</v>
      </c>
      <c r="Z128" s="546">
        <f t="shared" si="79"/>
        <v>63122.590684000003</v>
      </c>
      <c r="AA128" s="546">
        <f t="shared" si="80"/>
        <v>115244.88531600001</v>
      </c>
      <c r="AG128" s="544" t="s">
        <v>868</v>
      </c>
      <c r="AH128" s="545">
        <v>150000000</v>
      </c>
      <c r="AI128" s="545">
        <v>0</v>
      </c>
      <c r="AJ128" s="545">
        <v>0</v>
      </c>
      <c r="AK128" s="545">
        <v>150000000</v>
      </c>
      <c r="AL128" s="545">
        <f t="shared" si="82"/>
        <v>150000</v>
      </c>
      <c r="AM128" s="545">
        <f t="shared" si="83"/>
        <v>0</v>
      </c>
      <c r="AN128" s="545">
        <f t="shared" si="84"/>
        <v>0</v>
      </c>
      <c r="AO128" s="545">
        <f t="shared" si="85"/>
        <v>150000</v>
      </c>
      <c r="AV128" s="544" t="s">
        <v>577</v>
      </c>
      <c r="AW128" s="545">
        <v>10000</v>
      </c>
      <c r="AX128" s="545">
        <v>0</v>
      </c>
      <c r="AY128" s="545">
        <v>0</v>
      </c>
      <c r="AZ128" s="545">
        <v>10000</v>
      </c>
      <c r="BA128" s="546">
        <f t="shared" si="87"/>
        <v>10</v>
      </c>
      <c r="BB128" s="546">
        <f t="shared" si="88"/>
        <v>0</v>
      </c>
      <c r="BC128" s="546">
        <f t="shared" si="89"/>
        <v>0</v>
      </c>
      <c r="BD128" s="546">
        <f t="shared" si="90"/>
        <v>10</v>
      </c>
      <c r="BK128" s="544" t="s">
        <v>399</v>
      </c>
      <c r="BL128" s="545">
        <v>717759000</v>
      </c>
      <c r="BM128" s="545">
        <v>28393586</v>
      </c>
      <c r="BN128" s="545">
        <v>66227574</v>
      </c>
      <c r="BO128" s="545">
        <v>651531426</v>
      </c>
      <c r="BP128" s="545">
        <f t="shared" si="92"/>
        <v>717759</v>
      </c>
      <c r="BQ128" s="545">
        <f t="shared" si="93"/>
        <v>28393.585999999999</v>
      </c>
      <c r="BR128" s="545">
        <f t="shared" si="94"/>
        <v>66227.573999999993</v>
      </c>
      <c r="BS128" s="545">
        <f t="shared" si="95"/>
        <v>651531.42599999998</v>
      </c>
      <c r="BZ128" s="544" t="s">
        <v>399</v>
      </c>
      <c r="CA128" s="545">
        <v>717759000</v>
      </c>
      <c r="CB128" s="545">
        <v>34181869</v>
      </c>
      <c r="CC128" s="545">
        <v>66227574</v>
      </c>
      <c r="CD128" s="545">
        <v>651531426</v>
      </c>
      <c r="CE128" s="545">
        <f t="shared" si="97"/>
        <v>717759</v>
      </c>
      <c r="CF128" s="545">
        <f t="shared" si="98"/>
        <v>34181.868999999999</v>
      </c>
      <c r="CG128" s="545">
        <f t="shared" si="99"/>
        <v>66227.573999999993</v>
      </c>
      <c r="CH128" s="545">
        <f t="shared" si="100"/>
        <v>651531.42599999998</v>
      </c>
      <c r="CP128" s="547" t="s">
        <v>577</v>
      </c>
      <c r="CQ128" s="546">
        <v>10000</v>
      </c>
      <c r="CR128" s="546">
        <v>0</v>
      </c>
      <c r="CS128" s="546">
        <v>0</v>
      </c>
      <c r="CT128" s="546">
        <v>10000</v>
      </c>
      <c r="CU128" s="546">
        <f t="shared" si="131"/>
        <v>10</v>
      </c>
      <c r="CV128" s="546">
        <f t="shared" si="132"/>
        <v>0</v>
      </c>
      <c r="CW128" s="546">
        <f t="shared" si="133"/>
        <v>0</v>
      </c>
      <c r="CX128" s="546">
        <f t="shared" si="134"/>
        <v>10</v>
      </c>
      <c r="DE128" s="544" t="s">
        <v>399</v>
      </c>
      <c r="DF128" s="545">
        <v>717759000</v>
      </c>
      <c r="DG128" s="545">
        <v>447773621</v>
      </c>
      <c r="DH128" s="545">
        <v>466227282</v>
      </c>
      <c r="DI128" s="545">
        <v>251531718</v>
      </c>
      <c r="DJ128" s="546">
        <f t="shared" si="103"/>
        <v>717759</v>
      </c>
      <c r="DK128" s="546">
        <f t="shared" si="104"/>
        <v>447773.62099999998</v>
      </c>
      <c r="DL128" s="546">
        <f t="shared" si="105"/>
        <v>466227.28200000001</v>
      </c>
      <c r="DM128" s="546">
        <f t="shared" si="106"/>
        <v>251531.71799999999</v>
      </c>
      <c r="DT128" s="544" t="s">
        <v>399</v>
      </c>
      <c r="DU128" s="545">
        <v>717759000</v>
      </c>
      <c r="DV128" s="545">
        <v>454005686</v>
      </c>
      <c r="DW128" s="545">
        <v>487794615</v>
      </c>
      <c r="DX128" s="545">
        <v>229964385</v>
      </c>
      <c r="DY128" s="546">
        <f t="shared" si="108"/>
        <v>717759</v>
      </c>
      <c r="DZ128" s="546">
        <f t="shared" si="109"/>
        <v>454005.68599999999</v>
      </c>
      <c r="EA128" s="546">
        <f t="shared" si="110"/>
        <v>487794.61499999999</v>
      </c>
      <c r="EB128" s="546">
        <f t="shared" si="111"/>
        <v>229964.38500000001</v>
      </c>
      <c r="EI128" s="547" t="s">
        <v>575</v>
      </c>
      <c r="EJ128" s="546">
        <v>204972000</v>
      </c>
      <c r="EK128" s="546">
        <v>204961523</v>
      </c>
      <c r="EL128" s="546">
        <v>204961523</v>
      </c>
      <c r="EM128" s="548">
        <f t="shared" si="113"/>
        <v>204972</v>
      </c>
      <c r="EN128" s="548">
        <f t="shared" si="114"/>
        <v>204961.52299999999</v>
      </c>
      <c r="EO128" s="548">
        <f t="shared" si="115"/>
        <v>204961.52299999999</v>
      </c>
      <c r="EW128" s="544" t="s">
        <v>398</v>
      </c>
      <c r="EX128" s="545">
        <v>1774851000</v>
      </c>
      <c r="EY128" s="545">
        <v>1774851000</v>
      </c>
      <c r="EZ128" s="545">
        <v>976081076</v>
      </c>
      <c r="FA128" s="545">
        <v>1044813219</v>
      </c>
      <c r="FB128" s="545">
        <v>730037781</v>
      </c>
      <c r="FC128" s="546">
        <f t="shared" si="135"/>
        <v>1774851</v>
      </c>
      <c r="FD128" s="546">
        <f t="shared" si="136"/>
        <v>1774851</v>
      </c>
      <c r="FE128" s="546">
        <f t="shared" si="137"/>
        <v>976081.076</v>
      </c>
      <c r="FF128" s="546">
        <f t="shared" si="138"/>
        <v>1044813.219</v>
      </c>
      <c r="FG128" s="546">
        <f t="shared" si="139"/>
        <v>730037.78099999996</v>
      </c>
      <c r="FN128" s="549" t="s">
        <v>575</v>
      </c>
      <c r="FO128" s="550">
        <v>585380000</v>
      </c>
      <c r="FP128" s="550">
        <v>585116303</v>
      </c>
      <c r="FQ128" s="550">
        <v>585370519</v>
      </c>
      <c r="FR128" s="550">
        <f t="shared" si="123"/>
        <v>585380</v>
      </c>
      <c r="FS128" s="550">
        <f t="shared" si="124"/>
        <v>585116.30299999996</v>
      </c>
      <c r="FT128" s="550">
        <f t="shared" si="125"/>
        <v>585370.51899999997</v>
      </c>
    </row>
    <row r="129" spans="1:176" ht="15" customHeight="1" x14ac:dyDescent="0.25">
      <c r="A129" s="890" t="s">
        <v>889</v>
      </c>
      <c r="B129" s="544" t="s">
        <v>852</v>
      </c>
      <c r="C129" s="545">
        <v>0</v>
      </c>
      <c r="D129" s="545">
        <v>71000000</v>
      </c>
      <c r="E129" s="545">
        <v>46361197</v>
      </c>
      <c r="F129" s="545">
        <v>24638803</v>
      </c>
      <c r="G129" s="545">
        <v>46361197</v>
      </c>
      <c r="H129" s="546">
        <f t="shared" si="72"/>
        <v>73982</v>
      </c>
      <c r="I129" s="546">
        <f t="shared" si="73"/>
        <v>48308.367274000004</v>
      </c>
      <c r="J129" s="546">
        <f t="shared" si="74"/>
        <v>25673.632726</v>
      </c>
      <c r="K129" s="546">
        <f t="shared" si="75"/>
        <v>48308.367274000004</v>
      </c>
      <c r="S129" s="544" t="s">
        <v>598</v>
      </c>
      <c r="T129" s="545">
        <v>171178000</v>
      </c>
      <c r="U129" s="545">
        <v>60578302</v>
      </c>
      <c r="V129" s="545">
        <v>60578302</v>
      </c>
      <c r="W129" s="545">
        <v>110599698</v>
      </c>
      <c r="X129" s="546">
        <f t="shared" si="77"/>
        <v>178367.476</v>
      </c>
      <c r="Y129" s="546">
        <f t="shared" si="78"/>
        <v>63122.590684000003</v>
      </c>
      <c r="Z129" s="546">
        <f t="shared" si="79"/>
        <v>63122.590684000003</v>
      </c>
      <c r="AA129" s="546">
        <f t="shared" si="80"/>
        <v>115244.88531600001</v>
      </c>
      <c r="AG129" s="544" t="s">
        <v>912</v>
      </c>
      <c r="AH129" s="545">
        <v>55000000</v>
      </c>
      <c r="AI129" s="545">
        <v>0</v>
      </c>
      <c r="AJ129" s="545">
        <v>0</v>
      </c>
      <c r="AK129" s="545">
        <v>55000000</v>
      </c>
      <c r="AL129" s="545">
        <f t="shared" si="82"/>
        <v>55000</v>
      </c>
      <c r="AM129" s="545">
        <f t="shared" si="83"/>
        <v>0</v>
      </c>
      <c r="AN129" s="545">
        <f t="shared" si="84"/>
        <v>0</v>
      </c>
      <c r="AO129" s="545">
        <f t="shared" si="85"/>
        <v>55000</v>
      </c>
      <c r="AV129" s="544" t="s">
        <v>868</v>
      </c>
      <c r="AW129" s="545">
        <v>150000000</v>
      </c>
      <c r="AX129" s="545">
        <v>0</v>
      </c>
      <c r="AY129" s="545">
        <v>0</v>
      </c>
      <c r="AZ129" s="545">
        <v>150000000</v>
      </c>
      <c r="BA129" s="546">
        <f t="shared" si="87"/>
        <v>150000</v>
      </c>
      <c r="BB129" s="546">
        <f t="shared" si="88"/>
        <v>0</v>
      </c>
      <c r="BC129" s="546">
        <f t="shared" si="89"/>
        <v>0</v>
      </c>
      <c r="BD129" s="546">
        <f t="shared" si="90"/>
        <v>150000</v>
      </c>
      <c r="BK129" s="544" t="s">
        <v>577</v>
      </c>
      <c r="BL129" s="545">
        <v>10000</v>
      </c>
      <c r="BM129" s="545">
        <v>0</v>
      </c>
      <c r="BN129" s="545">
        <v>0</v>
      </c>
      <c r="BO129" s="545">
        <v>10000</v>
      </c>
      <c r="BP129" s="545">
        <f t="shared" si="92"/>
        <v>10</v>
      </c>
      <c r="BQ129" s="545">
        <f t="shared" si="93"/>
        <v>0</v>
      </c>
      <c r="BR129" s="545">
        <f t="shared" si="94"/>
        <v>0</v>
      </c>
      <c r="BS129" s="545">
        <f t="shared" si="95"/>
        <v>10</v>
      </c>
      <c r="BZ129" s="544" t="s">
        <v>577</v>
      </c>
      <c r="CA129" s="545">
        <v>10000</v>
      </c>
      <c r="CB129" s="545">
        <v>0</v>
      </c>
      <c r="CC129" s="545">
        <v>0</v>
      </c>
      <c r="CD129" s="545">
        <v>10000</v>
      </c>
      <c r="CE129" s="545">
        <f t="shared" si="97"/>
        <v>10</v>
      </c>
      <c r="CF129" s="545">
        <f t="shared" si="98"/>
        <v>0</v>
      </c>
      <c r="CG129" s="545">
        <f t="shared" si="99"/>
        <v>0</v>
      </c>
      <c r="CH129" s="545">
        <f t="shared" si="100"/>
        <v>10</v>
      </c>
      <c r="CP129" s="547" t="s">
        <v>868</v>
      </c>
      <c r="CQ129" s="546">
        <v>150000000</v>
      </c>
      <c r="CR129" s="546">
        <v>0</v>
      </c>
      <c r="CS129" s="546">
        <v>0</v>
      </c>
      <c r="CT129" s="546">
        <v>150000000</v>
      </c>
      <c r="CU129" s="546">
        <f t="shared" si="131"/>
        <v>150000</v>
      </c>
      <c r="CV129" s="546">
        <f t="shared" si="132"/>
        <v>0</v>
      </c>
      <c r="CW129" s="546">
        <f t="shared" si="133"/>
        <v>0</v>
      </c>
      <c r="CX129" s="546">
        <f t="shared" si="134"/>
        <v>150000</v>
      </c>
      <c r="DE129" s="544" t="s">
        <v>577</v>
      </c>
      <c r="DF129" s="545">
        <v>10000</v>
      </c>
      <c r="DG129" s="545">
        <v>0</v>
      </c>
      <c r="DH129" s="545">
        <v>0</v>
      </c>
      <c r="DI129" s="545">
        <v>10000</v>
      </c>
      <c r="DJ129" s="546">
        <f t="shared" si="103"/>
        <v>10</v>
      </c>
      <c r="DK129" s="546">
        <f t="shared" si="104"/>
        <v>0</v>
      </c>
      <c r="DL129" s="546">
        <f t="shared" si="105"/>
        <v>0</v>
      </c>
      <c r="DM129" s="546">
        <f t="shared" si="106"/>
        <v>10</v>
      </c>
      <c r="DT129" s="544" t="s">
        <v>577</v>
      </c>
      <c r="DU129" s="545">
        <v>10000</v>
      </c>
      <c r="DV129" s="545">
        <v>0</v>
      </c>
      <c r="DW129" s="545">
        <v>0</v>
      </c>
      <c r="DX129" s="545">
        <v>10000</v>
      </c>
      <c r="DY129" s="546">
        <f t="shared" si="108"/>
        <v>10</v>
      </c>
      <c r="DZ129" s="546">
        <f t="shared" si="109"/>
        <v>0</v>
      </c>
      <c r="EA129" s="546">
        <f t="shared" si="110"/>
        <v>0</v>
      </c>
      <c r="EB129" s="546">
        <f t="shared" si="111"/>
        <v>10</v>
      </c>
      <c r="EI129" s="547" t="s">
        <v>576</v>
      </c>
      <c r="EJ129" s="546">
        <v>204972000</v>
      </c>
      <c r="EK129" s="546">
        <v>204961523</v>
      </c>
      <c r="EL129" s="546">
        <v>204961523</v>
      </c>
      <c r="EM129" s="548">
        <f t="shared" si="113"/>
        <v>204972</v>
      </c>
      <c r="EN129" s="548">
        <f t="shared" si="114"/>
        <v>204961.52299999999</v>
      </c>
      <c r="EO129" s="548">
        <f t="shared" si="115"/>
        <v>204961.52299999999</v>
      </c>
      <c r="EW129" s="544" t="s">
        <v>399</v>
      </c>
      <c r="EX129" s="545">
        <v>717759000</v>
      </c>
      <c r="EY129" s="545">
        <v>717759000</v>
      </c>
      <c r="EZ129" s="545">
        <v>471795088</v>
      </c>
      <c r="FA129" s="545">
        <v>540527231</v>
      </c>
      <c r="FB129" s="545">
        <v>177231769</v>
      </c>
      <c r="FC129" s="546">
        <f t="shared" si="135"/>
        <v>717759</v>
      </c>
      <c r="FD129" s="546">
        <f t="shared" si="136"/>
        <v>717759</v>
      </c>
      <c r="FE129" s="546">
        <f t="shared" si="137"/>
        <v>471795.08799999999</v>
      </c>
      <c r="FF129" s="546">
        <f t="shared" si="138"/>
        <v>540527.23100000003</v>
      </c>
      <c r="FG129" s="546">
        <f t="shared" si="139"/>
        <v>177231.769</v>
      </c>
      <c r="FN129" s="549" t="s">
        <v>576</v>
      </c>
      <c r="FO129" s="550">
        <v>585380000</v>
      </c>
      <c r="FP129" s="550">
        <v>585116303</v>
      </c>
      <c r="FQ129" s="550">
        <v>585370519</v>
      </c>
      <c r="FR129" s="550">
        <f t="shared" si="123"/>
        <v>585380</v>
      </c>
      <c r="FS129" s="550">
        <f t="shared" si="124"/>
        <v>585116.30299999996</v>
      </c>
      <c r="FT129" s="550">
        <f t="shared" si="125"/>
        <v>585370.51899999997</v>
      </c>
    </row>
    <row r="130" spans="1:176" ht="15" customHeight="1" x14ac:dyDescent="0.25">
      <c r="A130" s="890" t="s">
        <v>889</v>
      </c>
      <c r="B130" s="544" t="s">
        <v>857</v>
      </c>
      <c r="C130" s="545">
        <v>0</v>
      </c>
      <c r="D130" s="545">
        <v>100000</v>
      </c>
      <c r="E130" s="545">
        <v>0</v>
      </c>
      <c r="F130" s="545">
        <v>100000</v>
      </c>
      <c r="G130" s="545">
        <v>0</v>
      </c>
      <c r="H130" s="546">
        <f t="shared" si="72"/>
        <v>104.2</v>
      </c>
      <c r="I130" s="546">
        <f t="shared" si="73"/>
        <v>0</v>
      </c>
      <c r="J130" s="546">
        <f t="shared" si="74"/>
        <v>104.2</v>
      </c>
      <c r="K130" s="546">
        <f t="shared" si="75"/>
        <v>0</v>
      </c>
      <c r="S130" s="544" t="s">
        <v>852</v>
      </c>
      <c r="T130" s="545">
        <v>71000000</v>
      </c>
      <c r="U130" s="545">
        <v>60578302</v>
      </c>
      <c r="V130" s="545">
        <v>60578302</v>
      </c>
      <c r="W130" s="545">
        <v>10421698</v>
      </c>
      <c r="X130" s="546">
        <f t="shared" si="77"/>
        <v>73982</v>
      </c>
      <c r="Y130" s="546">
        <f t="shared" si="78"/>
        <v>63122.590684000003</v>
      </c>
      <c r="Z130" s="546">
        <f t="shared" si="79"/>
        <v>63122.590684000003</v>
      </c>
      <c r="AA130" s="546">
        <f t="shared" si="80"/>
        <v>10859.409316000001</v>
      </c>
      <c r="AG130" s="544" t="s">
        <v>913</v>
      </c>
      <c r="AH130" s="545">
        <v>400000000</v>
      </c>
      <c r="AI130" s="545">
        <v>0</v>
      </c>
      <c r="AJ130" s="545">
        <v>0</v>
      </c>
      <c r="AK130" s="545">
        <v>400000000</v>
      </c>
      <c r="AL130" s="545">
        <f t="shared" si="82"/>
        <v>400000</v>
      </c>
      <c r="AM130" s="545">
        <f t="shared" si="83"/>
        <v>0</v>
      </c>
      <c r="AN130" s="545">
        <f t="shared" si="84"/>
        <v>0</v>
      </c>
      <c r="AO130" s="545">
        <f t="shared" si="85"/>
        <v>400000</v>
      </c>
      <c r="AV130" s="544" t="s">
        <v>912</v>
      </c>
      <c r="AW130" s="545">
        <v>55000000</v>
      </c>
      <c r="AX130" s="545">
        <v>0</v>
      </c>
      <c r="AY130" s="545">
        <v>0</v>
      </c>
      <c r="AZ130" s="545">
        <v>55000000</v>
      </c>
      <c r="BA130" s="546">
        <f t="shared" si="87"/>
        <v>55000</v>
      </c>
      <c r="BB130" s="546">
        <f t="shared" si="88"/>
        <v>0</v>
      </c>
      <c r="BC130" s="546">
        <f t="shared" si="89"/>
        <v>0</v>
      </c>
      <c r="BD130" s="546">
        <f t="shared" si="90"/>
        <v>55000</v>
      </c>
      <c r="BK130" s="544" t="s">
        <v>868</v>
      </c>
      <c r="BL130" s="545">
        <v>150000000</v>
      </c>
      <c r="BM130" s="545">
        <v>0</v>
      </c>
      <c r="BN130" s="545">
        <v>0</v>
      </c>
      <c r="BO130" s="545">
        <v>150000000</v>
      </c>
      <c r="BP130" s="545">
        <f t="shared" si="92"/>
        <v>150000</v>
      </c>
      <c r="BQ130" s="545">
        <f t="shared" si="93"/>
        <v>0</v>
      </c>
      <c r="BR130" s="545">
        <f t="shared" si="94"/>
        <v>0</v>
      </c>
      <c r="BS130" s="545">
        <f t="shared" si="95"/>
        <v>150000</v>
      </c>
      <c r="BZ130" s="544" t="s">
        <v>868</v>
      </c>
      <c r="CA130" s="545">
        <v>150000000</v>
      </c>
      <c r="CB130" s="545">
        <v>0</v>
      </c>
      <c r="CC130" s="545">
        <v>0</v>
      </c>
      <c r="CD130" s="545">
        <v>150000000</v>
      </c>
      <c r="CE130" s="545">
        <f t="shared" si="97"/>
        <v>150000</v>
      </c>
      <c r="CF130" s="545">
        <f t="shared" si="98"/>
        <v>0</v>
      </c>
      <c r="CG130" s="545">
        <f t="shared" si="99"/>
        <v>0</v>
      </c>
      <c r="CH130" s="545">
        <f t="shared" si="100"/>
        <v>150000</v>
      </c>
      <c r="CP130" s="547" t="s">
        <v>912</v>
      </c>
      <c r="CQ130" s="546">
        <v>55000000</v>
      </c>
      <c r="CR130" s="546">
        <v>0</v>
      </c>
      <c r="CS130" s="546">
        <v>0</v>
      </c>
      <c r="CT130" s="546">
        <v>55000000</v>
      </c>
      <c r="CU130" s="546">
        <f t="shared" si="131"/>
        <v>55000</v>
      </c>
      <c r="CV130" s="546">
        <f t="shared" si="132"/>
        <v>0</v>
      </c>
      <c r="CW130" s="546">
        <f t="shared" si="133"/>
        <v>0</v>
      </c>
      <c r="CX130" s="546">
        <f t="shared" si="134"/>
        <v>55000</v>
      </c>
      <c r="DE130" s="544" t="s">
        <v>868</v>
      </c>
      <c r="DF130" s="545">
        <v>150000000</v>
      </c>
      <c r="DG130" s="545">
        <v>0</v>
      </c>
      <c r="DH130" s="545">
        <v>0</v>
      </c>
      <c r="DI130" s="545">
        <v>150000000</v>
      </c>
      <c r="DJ130" s="546">
        <f t="shared" si="103"/>
        <v>150000</v>
      </c>
      <c r="DK130" s="546">
        <f t="shared" si="104"/>
        <v>0</v>
      </c>
      <c r="DL130" s="546">
        <f t="shared" si="105"/>
        <v>0</v>
      </c>
      <c r="DM130" s="546">
        <f t="shared" si="106"/>
        <v>150000</v>
      </c>
      <c r="DT130" s="544" t="s">
        <v>868</v>
      </c>
      <c r="DU130" s="545">
        <v>150000000</v>
      </c>
      <c r="DV130" s="545">
        <v>0</v>
      </c>
      <c r="DW130" s="545">
        <v>0</v>
      </c>
      <c r="DX130" s="545">
        <v>150000000</v>
      </c>
      <c r="DY130" s="546">
        <f t="shared" si="108"/>
        <v>150000</v>
      </c>
      <c r="DZ130" s="546">
        <f t="shared" si="109"/>
        <v>0</v>
      </c>
      <c r="EA130" s="546">
        <f t="shared" si="110"/>
        <v>0</v>
      </c>
      <c r="EB130" s="546">
        <f t="shared" si="111"/>
        <v>150000</v>
      </c>
      <c r="EI130" s="547" t="s">
        <v>398</v>
      </c>
      <c r="EJ130" s="546">
        <v>1774851000</v>
      </c>
      <c r="EK130" s="546">
        <v>988099619</v>
      </c>
      <c r="EL130" s="546">
        <v>966515308</v>
      </c>
      <c r="EM130" s="548">
        <f t="shared" si="113"/>
        <v>1774851</v>
      </c>
      <c r="EN130" s="548">
        <f t="shared" si="114"/>
        <v>988099.61899999995</v>
      </c>
      <c r="EO130" s="548">
        <f t="shared" si="115"/>
        <v>966515.30799999996</v>
      </c>
      <c r="EW130" s="544" t="s">
        <v>577</v>
      </c>
      <c r="EX130" s="545">
        <v>10000</v>
      </c>
      <c r="EY130" s="545">
        <v>10000</v>
      </c>
      <c r="EZ130" s="545">
        <v>0</v>
      </c>
      <c r="FA130" s="545">
        <v>0</v>
      </c>
      <c r="FB130" s="545">
        <v>10000</v>
      </c>
      <c r="FC130" s="546">
        <f t="shared" si="135"/>
        <v>10</v>
      </c>
      <c r="FD130" s="546">
        <f t="shared" si="136"/>
        <v>10</v>
      </c>
      <c r="FE130" s="546">
        <f t="shared" si="137"/>
        <v>0</v>
      </c>
      <c r="FF130" s="546">
        <f t="shared" si="138"/>
        <v>0</v>
      </c>
      <c r="FG130" s="546">
        <f t="shared" si="139"/>
        <v>10</v>
      </c>
      <c r="FN130" s="549" t="s">
        <v>398</v>
      </c>
      <c r="FO130" s="550">
        <v>1775993000</v>
      </c>
      <c r="FP130" s="550">
        <v>1704973244</v>
      </c>
      <c r="FQ130" s="550">
        <v>1705409541</v>
      </c>
      <c r="FR130" s="550">
        <f t="shared" si="123"/>
        <v>1775993</v>
      </c>
      <c r="FS130" s="550">
        <f t="shared" si="124"/>
        <v>1704973.2439999999</v>
      </c>
      <c r="FT130" s="550">
        <f t="shared" si="125"/>
        <v>1705409.541</v>
      </c>
    </row>
    <row r="131" spans="1:176" ht="15" customHeight="1" x14ac:dyDescent="0.25">
      <c r="A131" s="890" t="s">
        <v>889</v>
      </c>
      <c r="B131" s="544" t="s">
        <v>858</v>
      </c>
      <c r="C131" s="545">
        <v>0</v>
      </c>
      <c r="D131" s="545">
        <v>78000</v>
      </c>
      <c r="E131" s="545">
        <v>0</v>
      </c>
      <c r="F131" s="545">
        <v>78000</v>
      </c>
      <c r="G131" s="545">
        <v>0</v>
      </c>
      <c r="H131" s="546">
        <f t="shared" si="72"/>
        <v>81.275999999999996</v>
      </c>
      <c r="I131" s="546">
        <f t="shared" si="73"/>
        <v>0</v>
      </c>
      <c r="J131" s="546">
        <f t="shared" si="74"/>
        <v>81.275999999999996</v>
      </c>
      <c r="K131" s="546">
        <f t="shared" si="75"/>
        <v>0</v>
      </c>
      <c r="S131" s="544" t="s">
        <v>857</v>
      </c>
      <c r="T131" s="545">
        <v>100000</v>
      </c>
      <c r="U131" s="545">
        <v>0</v>
      </c>
      <c r="V131" s="545">
        <v>0</v>
      </c>
      <c r="W131" s="545">
        <v>100000</v>
      </c>
      <c r="X131" s="546">
        <f t="shared" si="77"/>
        <v>104.2</v>
      </c>
      <c r="Y131" s="546">
        <f t="shared" si="78"/>
        <v>0</v>
      </c>
      <c r="Z131" s="546">
        <f t="shared" si="79"/>
        <v>0</v>
      </c>
      <c r="AA131" s="546">
        <f t="shared" si="80"/>
        <v>104.2</v>
      </c>
      <c r="AG131" s="544" t="s">
        <v>502</v>
      </c>
      <c r="AH131" s="545">
        <v>112749000</v>
      </c>
      <c r="AI131" s="545">
        <v>16735114</v>
      </c>
      <c r="AJ131" s="545">
        <v>64871798</v>
      </c>
      <c r="AK131" s="545">
        <v>47877202</v>
      </c>
      <c r="AL131" s="545">
        <f t="shared" si="82"/>
        <v>112749</v>
      </c>
      <c r="AM131" s="545">
        <f t="shared" si="83"/>
        <v>16735.114000000001</v>
      </c>
      <c r="AN131" s="545">
        <f t="shared" si="84"/>
        <v>64871.798000000003</v>
      </c>
      <c r="AO131" s="545">
        <f t="shared" si="85"/>
        <v>47877.201999999997</v>
      </c>
      <c r="AV131" s="544" t="s">
        <v>913</v>
      </c>
      <c r="AW131" s="545">
        <v>400000000</v>
      </c>
      <c r="AX131" s="545">
        <v>0</v>
      </c>
      <c r="AY131" s="545">
        <v>0</v>
      </c>
      <c r="AZ131" s="545">
        <v>400000000</v>
      </c>
      <c r="BA131" s="546">
        <f t="shared" si="87"/>
        <v>400000</v>
      </c>
      <c r="BB131" s="546">
        <f t="shared" si="88"/>
        <v>0</v>
      </c>
      <c r="BC131" s="546">
        <f t="shared" si="89"/>
        <v>0</v>
      </c>
      <c r="BD131" s="546">
        <f t="shared" si="90"/>
        <v>400000</v>
      </c>
      <c r="BK131" s="544" t="s">
        <v>912</v>
      </c>
      <c r="BL131" s="545">
        <v>55000000</v>
      </c>
      <c r="BM131" s="545">
        <v>0</v>
      </c>
      <c r="BN131" s="545">
        <v>0</v>
      </c>
      <c r="BO131" s="545">
        <v>55000000</v>
      </c>
      <c r="BP131" s="545">
        <f t="shared" si="92"/>
        <v>55000</v>
      </c>
      <c r="BQ131" s="545">
        <f t="shared" si="93"/>
        <v>0</v>
      </c>
      <c r="BR131" s="545">
        <f t="shared" si="94"/>
        <v>0</v>
      </c>
      <c r="BS131" s="545">
        <f t="shared" si="95"/>
        <v>55000</v>
      </c>
      <c r="BZ131" s="544" t="s">
        <v>912</v>
      </c>
      <c r="CA131" s="545">
        <v>55000000</v>
      </c>
      <c r="CB131" s="545">
        <v>0</v>
      </c>
      <c r="CC131" s="545">
        <v>0</v>
      </c>
      <c r="CD131" s="545">
        <v>55000000</v>
      </c>
      <c r="CE131" s="545">
        <f t="shared" si="97"/>
        <v>55000</v>
      </c>
      <c r="CF131" s="545">
        <f t="shared" si="98"/>
        <v>0</v>
      </c>
      <c r="CG131" s="545">
        <f t="shared" si="99"/>
        <v>0</v>
      </c>
      <c r="CH131" s="545">
        <f t="shared" si="100"/>
        <v>55000</v>
      </c>
      <c r="CP131" s="547" t="s">
        <v>913</v>
      </c>
      <c r="CQ131" s="546">
        <v>400000000</v>
      </c>
      <c r="CR131" s="546">
        <v>0</v>
      </c>
      <c r="CS131" s="546">
        <v>0</v>
      </c>
      <c r="CT131" s="546">
        <v>400000000</v>
      </c>
      <c r="CU131" s="546">
        <f t="shared" ref="CU131:CU161" si="140">+CQ131/$CV$1*$CW$1</f>
        <v>400000</v>
      </c>
      <c r="CV131" s="546">
        <f t="shared" ref="CV131:CV161" si="141">+CR131/$CV$1*$CW$1</f>
        <v>0</v>
      </c>
      <c r="CW131" s="546">
        <f t="shared" ref="CW131:CW161" si="142">+CS131/$CV$1*$CW$1</f>
        <v>0</v>
      </c>
      <c r="CX131" s="546">
        <f t="shared" ref="CX131:CX161" si="143">+CT131/$CV$1*$CW$1</f>
        <v>400000</v>
      </c>
      <c r="DE131" s="544" t="s">
        <v>912</v>
      </c>
      <c r="DF131" s="545">
        <v>55000000</v>
      </c>
      <c r="DG131" s="545">
        <v>0</v>
      </c>
      <c r="DH131" s="545">
        <v>0</v>
      </c>
      <c r="DI131" s="545">
        <v>55000000</v>
      </c>
      <c r="DJ131" s="546">
        <f t="shared" si="103"/>
        <v>55000</v>
      </c>
      <c r="DK131" s="546">
        <f t="shared" si="104"/>
        <v>0</v>
      </c>
      <c r="DL131" s="546">
        <f t="shared" si="105"/>
        <v>0</v>
      </c>
      <c r="DM131" s="546">
        <f t="shared" si="106"/>
        <v>55000</v>
      </c>
      <c r="DT131" s="544" t="s">
        <v>912</v>
      </c>
      <c r="DU131" s="545">
        <v>55000000</v>
      </c>
      <c r="DV131" s="545">
        <v>0</v>
      </c>
      <c r="DW131" s="545">
        <v>0</v>
      </c>
      <c r="DX131" s="545">
        <v>55000000</v>
      </c>
      <c r="DY131" s="546">
        <f t="shared" si="108"/>
        <v>55000</v>
      </c>
      <c r="DZ131" s="546">
        <f t="shared" si="109"/>
        <v>0</v>
      </c>
      <c r="EA131" s="546">
        <f t="shared" si="110"/>
        <v>0</v>
      </c>
      <c r="EB131" s="546">
        <f t="shared" si="111"/>
        <v>55000</v>
      </c>
      <c r="EI131" s="547" t="s">
        <v>399</v>
      </c>
      <c r="EJ131" s="546">
        <v>717759000</v>
      </c>
      <c r="EK131" s="546">
        <v>483813631</v>
      </c>
      <c r="EL131" s="546">
        <v>462229320</v>
      </c>
      <c r="EM131" s="548">
        <f t="shared" si="113"/>
        <v>717759</v>
      </c>
      <c r="EN131" s="548">
        <f t="shared" si="114"/>
        <v>483813.63099999999</v>
      </c>
      <c r="EO131" s="548">
        <f t="shared" si="115"/>
        <v>462229.32</v>
      </c>
      <c r="EW131" s="544" t="s">
        <v>868</v>
      </c>
      <c r="EX131" s="545">
        <v>150000000</v>
      </c>
      <c r="EY131" s="545">
        <v>150000000</v>
      </c>
      <c r="EZ131" s="545">
        <v>0</v>
      </c>
      <c r="FA131" s="545">
        <v>0</v>
      </c>
      <c r="FB131" s="545">
        <v>150000000</v>
      </c>
      <c r="FC131" s="546">
        <f t="shared" si="135"/>
        <v>150000</v>
      </c>
      <c r="FD131" s="546">
        <f t="shared" si="136"/>
        <v>150000</v>
      </c>
      <c r="FE131" s="546">
        <f t="shared" si="137"/>
        <v>0</v>
      </c>
      <c r="FF131" s="546">
        <f t="shared" si="138"/>
        <v>0</v>
      </c>
      <c r="FG131" s="546">
        <f t="shared" si="139"/>
        <v>150000</v>
      </c>
      <c r="FN131" s="549" t="s">
        <v>399</v>
      </c>
      <c r="FO131" s="550">
        <v>718901000</v>
      </c>
      <c r="FP131" s="550">
        <v>690087256</v>
      </c>
      <c r="FQ131" s="550">
        <v>690523553</v>
      </c>
      <c r="FR131" s="550">
        <f t="shared" si="123"/>
        <v>718901</v>
      </c>
      <c r="FS131" s="550">
        <f t="shared" si="124"/>
        <v>690087.25600000005</v>
      </c>
      <c r="FT131" s="550">
        <f t="shared" si="125"/>
        <v>690523.55299999996</v>
      </c>
    </row>
    <row r="132" spans="1:176" ht="15" customHeight="1" x14ac:dyDescent="0.25">
      <c r="A132" s="890" t="s">
        <v>889</v>
      </c>
      <c r="B132" s="544" t="s">
        <v>859</v>
      </c>
      <c r="C132" s="545">
        <v>0</v>
      </c>
      <c r="D132" s="545">
        <v>100000000</v>
      </c>
      <c r="E132" s="545">
        <v>0</v>
      </c>
      <c r="F132" s="545">
        <v>100000000</v>
      </c>
      <c r="G132" s="545">
        <v>0</v>
      </c>
      <c r="H132" s="546">
        <f t="shared" ref="H132" si="144">+D132/$I$1*$J$1</f>
        <v>104200</v>
      </c>
      <c r="I132" s="546">
        <f t="shared" ref="I132" si="145">+E132/$I$1*$J$1</f>
        <v>0</v>
      </c>
      <c r="J132" s="546">
        <f t="shared" ref="J132" si="146">+F132/$I$1*$J$1</f>
        <v>104200</v>
      </c>
      <c r="K132" s="546">
        <f t="shared" ref="K132" si="147">+G132/$I$1*$J$1</f>
        <v>0</v>
      </c>
      <c r="S132" s="544" t="s">
        <v>858</v>
      </c>
      <c r="T132" s="545">
        <v>78000</v>
      </c>
      <c r="U132" s="545">
        <v>0</v>
      </c>
      <c r="V132" s="545">
        <v>0</v>
      </c>
      <c r="W132" s="545">
        <v>78000</v>
      </c>
      <c r="X132" s="546">
        <f t="shared" ref="X132:X143" si="148">+T132/$Z$1*$AA$1</f>
        <v>81.275999999999996</v>
      </c>
      <c r="Y132" s="546">
        <f t="shared" ref="Y132:Y143" si="149">+U132/$Z$1*$AA$1</f>
        <v>0</v>
      </c>
      <c r="Z132" s="546">
        <f t="shared" ref="Z132:Z143" si="150">+V132/$Z$1*$AA$1</f>
        <v>0</v>
      </c>
      <c r="AA132" s="546">
        <f t="shared" ref="AA132:AA143" si="151">+W132/$Z$1*$AA$1</f>
        <v>81.275999999999996</v>
      </c>
      <c r="AG132" s="544" t="s">
        <v>473</v>
      </c>
      <c r="AH132" s="545">
        <v>837092000</v>
      </c>
      <c r="AI132" s="545">
        <v>0</v>
      </c>
      <c r="AJ132" s="545">
        <v>0</v>
      </c>
      <c r="AK132" s="545">
        <v>837092000</v>
      </c>
      <c r="AL132" s="545">
        <f t="shared" ref="AL132:AL141" si="152">+AH132/$AN$1*$AO$1</f>
        <v>837092</v>
      </c>
      <c r="AM132" s="545">
        <f t="shared" ref="AM132:AM141" si="153">+AI132/$AN$1*$AO$1</f>
        <v>0</v>
      </c>
      <c r="AN132" s="545">
        <f t="shared" ref="AN132:AN141" si="154">+AJ132/$AN$1*$AO$1</f>
        <v>0</v>
      </c>
      <c r="AO132" s="545">
        <f t="shared" ref="AO132:AO141" si="155">+AK132/$AN$1*$AO$1</f>
        <v>837092</v>
      </c>
      <c r="AV132" s="544" t="s">
        <v>502</v>
      </c>
      <c r="AW132" s="545">
        <v>112749000</v>
      </c>
      <c r="AX132" s="545">
        <v>23046545</v>
      </c>
      <c r="AY132" s="545">
        <v>66227574</v>
      </c>
      <c r="AZ132" s="545">
        <v>46521426</v>
      </c>
      <c r="BA132" s="546">
        <f t="shared" ref="BA132:BA159" si="156">+AW132/$BC$1*$BD$1</f>
        <v>112749</v>
      </c>
      <c r="BB132" s="546">
        <f t="shared" ref="BB132:BB159" si="157">+AX132/$BC$1*$BD$1</f>
        <v>23046.544999999998</v>
      </c>
      <c r="BC132" s="546">
        <f t="shared" ref="BC132:BC159" si="158">+AY132/$BC$1*$BD$1</f>
        <v>66227.573999999993</v>
      </c>
      <c r="BD132" s="546">
        <f t="shared" ref="BD132:BD159" si="159">+AZ132/$BC$1*$BD$1</f>
        <v>46521.425999999999</v>
      </c>
      <c r="BK132" s="544" t="s">
        <v>913</v>
      </c>
      <c r="BL132" s="545">
        <v>400000000</v>
      </c>
      <c r="BM132" s="545">
        <v>0</v>
      </c>
      <c r="BN132" s="545">
        <v>0</v>
      </c>
      <c r="BO132" s="545">
        <v>400000000</v>
      </c>
      <c r="BP132" s="545">
        <f t="shared" ref="BP132:BP143" si="160">+BL132/$BR$1*$BS$1</f>
        <v>400000</v>
      </c>
      <c r="BQ132" s="545">
        <f t="shared" ref="BQ132:BQ143" si="161">+BM132/$BR$1*$BS$1</f>
        <v>0</v>
      </c>
      <c r="BR132" s="545">
        <f t="shared" ref="BR132:BR143" si="162">+BN132/$BR$1*$BS$1</f>
        <v>0</v>
      </c>
      <c r="BS132" s="545">
        <f t="shared" ref="BS132:BS143" si="163">+BO132/$BR$1*$BS$1</f>
        <v>400000</v>
      </c>
      <c r="BZ132" s="544" t="s">
        <v>913</v>
      </c>
      <c r="CA132" s="545">
        <v>400000000</v>
      </c>
      <c r="CB132" s="545">
        <v>0</v>
      </c>
      <c r="CC132" s="545">
        <v>0</v>
      </c>
      <c r="CD132" s="545">
        <v>400000000</v>
      </c>
      <c r="CE132" s="545">
        <f t="shared" ref="CE132:CE142" si="164">+CA132/$CG$1*$CH$1</f>
        <v>400000</v>
      </c>
      <c r="CF132" s="545">
        <f t="shared" ref="CF132:CF143" si="165">+CB132/$CG$1*$CH$1</f>
        <v>0</v>
      </c>
      <c r="CG132" s="545">
        <f t="shared" ref="CG132:CG143" si="166">+CC132/$CG$1*$CH$1</f>
        <v>0</v>
      </c>
      <c r="CH132" s="545">
        <f t="shared" ref="CH132:CH143" si="167">+CD132/$CG$1*$CH$1</f>
        <v>400000</v>
      </c>
      <c r="CP132" s="547" t="s">
        <v>502</v>
      </c>
      <c r="CQ132" s="546">
        <v>112749000</v>
      </c>
      <c r="CR132" s="546">
        <v>41495280</v>
      </c>
      <c r="CS132" s="546">
        <v>66227574</v>
      </c>
      <c r="CT132" s="546">
        <v>46521426</v>
      </c>
      <c r="CU132" s="546">
        <f t="shared" si="140"/>
        <v>112749</v>
      </c>
      <c r="CV132" s="546">
        <f t="shared" si="141"/>
        <v>41495.279999999999</v>
      </c>
      <c r="CW132" s="546">
        <f t="shared" si="142"/>
        <v>66227.573999999993</v>
      </c>
      <c r="CX132" s="546">
        <f t="shared" si="143"/>
        <v>46521.425999999999</v>
      </c>
      <c r="DE132" s="544" t="s">
        <v>913</v>
      </c>
      <c r="DF132" s="545">
        <v>400000000</v>
      </c>
      <c r="DG132" s="545">
        <v>400000000</v>
      </c>
      <c r="DH132" s="545">
        <v>400000000</v>
      </c>
      <c r="DI132" s="545">
        <v>0</v>
      </c>
      <c r="DJ132" s="546">
        <f t="shared" ref="DJ132:DJ162" si="168">+DF132/$DL$1*$DM$1</f>
        <v>400000</v>
      </c>
      <c r="DK132" s="546">
        <f t="shared" ref="DK132:DK162" si="169">+DG132/$DL$1*$DM$1</f>
        <v>400000</v>
      </c>
      <c r="DL132" s="546">
        <f t="shared" ref="DL132:DL162" si="170">+DH132/$DL$1*$DM$1</f>
        <v>400000</v>
      </c>
      <c r="DM132" s="546">
        <f t="shared" ref="DM132:DM162" si="171">+DI132/$DL$1*$DM$1</f>
        <v>0</v>
      </c>
      <c r="DT132" s="544" t="s">
        <v>913</v>
      </c>
      <c r="DU132" s="545">
        <v>400000000</v>
      </c>
      <c r="DV132" s="545">
        <v>400000000</v>
      </c>
      <c r="DW132" s="545">
        <v>400000000</v>
      </c>
      <c r="DX132" s="545">
        <v>0</v>
      </c>
      <c r="DY132" s="546">
        <f t="shared" ref="DY132:DY145" si="172">+DU132/$EA$1*$EB$1</f>
        <v>400000</v>
      </c>
      <c r="DZ132" s="546">
        <f t="shared" ref="DZ132:DZ145" si="173">+DV132/$EA$1*$EB$1</f>
        <v>400000</v>
      </c>
      <c r="EA132" s="546">
        <f t="shared" ref="EA132:EA145" si="174">+DW132/$EA$1*$EB$1</f>
        <v>400000</v>
      </c>
      <c r="EB132" s="546">
        <f t="shared" ref="EB132:EB145" si="175">+DX132/$EA$1*$EB$1</f>
        <v>0</v>
      </c>
      <c r="EI132" s="547" t="s">
        <v>577</v>
      </c>
      <c r="EJ132" s="546">
        <v>10000</v>
      </c>
      <c r="EK132" s="546">
        <v>0</v>
      </c>
      <c r="EL132" s="546">
        <v>0</v>
      </c>
      <c r="EM132" s="548">
        <f t="shared" ref="EM132:EM168" si="176">EJ132/$EN$1*$EO$1</f>
        <v>10</v>
      </c>
      <c r="EN132" s="548">
        <f t="shared" ref="EN132:EN168" si="177">EK132/$EN$1*$EO$1</f>
        <v>0</v>
      </c>
      <c r="EO132" s="548">
        <f t="shared" ref="EO132:EO168" si="178">EL132/$EN$1*$EO$1</f>
        <v>0</v>
      </c>
      <c r="EW132" s="544" t="s">
        <v>912</v>
      </c>
      <c r="EX132" s="545">
        <v>55000000</v>
      </c>
      <c r="EY132" s="545">
        <v>55000000</v>
      </c>
      <c r="EZ132" s="545">
        <v>0</v>
      </c>
      <c r="FA132" s="545">
        <v>55000000</v>
      </c>
      <c r="FB132" s="545">
        <v>0</v>
      </c>
      <c r="FC132" s="546">
        <f t="shared" ref="FC132:FC195" si="179">+EX132/$FF$1*$FG$1</f>
        <v>55000</v>
      </c>
      <c r="FD132" s="546">
        <f t="shared" ref="FD132:FD195" si="180">+EY132/$FF$1*$FG$1</f>
        <v>55000</v>
      </c>
      <c r="FE132" s="546">
        <f t="shared" ref="FE132:FE195" si="181">+EZ132/$FF$1*$FG$1</f>
        <v>0</v>
      </c>
      <c r="FF132" s="546">
        <f t="shared" ref="FF132:FF195" si="182">+FA132/$FF$1*$FG$1</f>
        <v>55000</v>
      </c>
      <c r="FG132" s="546">
        <f t="shared" ref="FG132:FG195" si="183">+FB132/$FF$1*$FG$1</f>
        <v>0</v>
      </c>
      <c r="FN132" s="549" t="s">
        <v>577</v>
      </c>
      <c r="FO132" s="550">
        <v>10000</v>
      </c>
      <c r="FP132" s="550">
        <v>0</v>
      </c>
      <c r="FQ132" s="550">
        <v>0</v>
      </c>
      <c r="FR132" s="550">
        <f t="shared" ref="FR132:FR167" si="184">+FO132/$FR$1*$FS$1</f>
        <v>10</v>
      </c>
      <c r="FS132" s="550">
        <f t="shared" ref="FS132:FS167" si="185">+FP132/$FR$1*$FS$1</f>
        <v>0</v>
      </c>
      <c r="FT132" s="550">
        <f t="shared" ref="FT132:FT167" si="186">+FQ132/$FR$1*$FS$1</f>
        <v>0</v>
      </c>
    </row>
    <row r="133" spans="1:176" ht="15" customHeight="1" x14ac:dyDescent="0.25">
      <c r="A133" s="890" t="s">
        <v>431</v>
      </c>
      <c r="B133" s="544" t="s">
        <v>580</v>
      </c>
      <c r="C133" s="545">
        <v>262003000</v>
      </c>
      <c r="D133" s="545">
        <v>262003000</v>
      </c>
      <c r="E133" s="545">
        <v>20561625</v>
      </c>
      <c r="F133" s="545">
        <v>241441375</v>
      </c>
      <c r="G133" s="545">
        <v>4153875</v>
      </c>
      <c r="H133" s="546">
        <f t="shared" ref="H133:H142" si="187">+D133/$I$1*$J$1</f>
        <v>273007.12599999999</v>
      </c>
      <c r="I133" s="546">
        <f t="shared" ref="I133:I142" si="188">+E133/$I$1*$J$1</f>
        <v>21425.213250000001</v>
      </c>
      <c r="J133" s="546">
        <f t="shared" ref="J133:J142" si="189">+F133/$I$1*$J$1</f>
        <v>251581.91275000002</v>
      </c>
      <c r="K133" s="546">
        <f t="shared" ref="K133:K142" si="190">+G133/$I$1*$J$1</f>
        <v>4328.3377500000006</v>
      </c>
      <c r="S133" s="544" t="s">
        <v>859</v>
      </c>
      <c r="T133" s="545">
        <v>100000000</v>
      </c>
      <c r="U133" s="545">
        <v>0</v>
      </c>
      <c r="V133" s="545">
        <v>0</v>
      </c>
      <c r="W133" s="545">
        <v>100000000</v>
      </c>
      <c r="X133" s="546">
        <f t="shared" si="148"/>
        <v>104200</v>
      </c>
      <c r="Y133" s="546">
        <f t="shared" si="149"/>
        <v>0</v>
      </c>
      <c r="Z133" s="546">
        <f t="shared" si="150"/>
        <v>0</v>
      </c>
      <c r="AA133" s="546">
        <f t="shared" si="151"/>
        <v>104200</v>
      </c>
      <c r="AG133" s="544" t="s">
        <v>914</v>
      </c>
      <c r="AH133" s="545">
        <v>468334000</v>
      </c>
      <c r="AI133" s="545">
        <v>0</v>
      </c>
      <c r="AJ133" s="545">
        <v>0</v>
      </c>
      <c r="AK133" s="545">
        <v>468334000</v>
      </c>
      <c r="AL133" s="545">
        <f t="shared" si="152"/>
        <v>468334</v>
      </c>
      <c r="AM133" s="545">
        <f t="shared" si="153"/>
        <v>0</v>
      </c>
      <c r="AN133" s="545">
        <f t="shared" si="154"/>
        <v>0</v>
      </c>
      <c r="AO133" s="545">
        <f t="shared" si="155"/>
        <v>468334</v>
      </c>
      <c r="AV133" s="544" t="s">
        <v>473</v>
      </c>
      <c r="AW133" s="545">
        <v>837092000</v>
      </c>
      <c r="AX133" s="545">
        <v>0</v>
      </c>
      <c r="AY133" s="545">
        <v>0</v>
      </c>
      <c r="AZ133" s="545">
        <v>837092000</v>
      </c>
      <c r="BA133" s="546">
        <f t="shared" si="156"/>
        <v>837092</v>
      </c>
      <c r="BB133" s="546">
        <f t="shared" si="157"/>
        <v>0</v>
      </c>
      <c r="BC133" s="546">
        <f t="shared" si="158"/>
        <v>0</v>
      </c>
      <c r="BD133" s="546">
        <f t="shared" si="159"/>
        <v>837092</v>
      </c>
      <c r="BK133" s="544" t="s">
        <v>502</v>
      </c>
      <c r="BL133" s="545">
        <v>112749000</v>
      </c>
      <c r="BM133" s="545">
        <v>28393586</v>
      </c>
      <c r="BN133" s="545">
        <v>66227574</v>
      </c>
      <c r="BO133" s="545">
        <v>46521426</v>
      </c>
      <c r="BP133" s="545">
        <f t="shared" si="160"/>
        <v>112749</v>
      </c>
      <c r="BQ133" s="545">
        <f t="shared" si="161"/>
        <v>28393.585999999999</v>
      </c>
      <c r="BR133" s="545">
        <f t="shared" si="162"/>
        <v>66227.573999999993</v>
      </c>
      <c r="BS133" s="545">
        <f t="shared" si="163"/>
        <v>46521.425999999999</v>
      </c>
      <c r="BZ133" s="544" t="s">
        <v>502</v>
      </c>
      <c r="CA133" s="545">
        <v>112749000</v>
      </c>
      <c r="CB133" s="545">
        <v>34181869</v>
      </c>
      <c r="CC133" s="545">
        <v>66227574</v>
      </c>
      <c r="CD133" s="545">
        <v>46521426</v>
      </c>
      <c r="CE133" s="545">
        <f t="shared" si="164"/>
        <v>112749</v>
      </c>
      <c r="CF133" s="545">
        <f t="shared" si="165"/>
        <v>34181.868999999999</v>
      </c>
      <c r="CG133" s="545">
        <f t="shared" si="166"/>
        <v>66227.573999999993</v>
      </c>
      <c r="CH133" s="545">
        <f t="shared" si="167"/>
        <v>46521.425999999999</v>
      </c>
      <c r="CP133" s="547" t="s">
        <v>473</v>
      </c>
      <c r="CQ133" s="546">
        <v>837092000</v>
      </c>
      <c r="CR133" s="546">
        <v>504285988</v>
      </c>
      <c r="CS133" s="546">
        <v>504285988</v>
      </c>
      <c r="CT133" s="546">
        <v>332806012</v>
      </c>
      <c r="CU133" s="546">
        <f t="shared" si="140"/>
        <v>837092</v>
      </c>
      <c r="CV133" s="546">
        <f t="shared" si="141"/>
        <v>504285.98800000001</v>
      </c>
      <c r="CW133" s="546">
        <f t="shared" si="142"/>
        <v>504285.98800000001</v>
      </c>
      <c r="CX133" s="546">
        <f t="shared" si="143"/>
        <v>332806.01199999999</v>
      </c>
      <c r="DE133" s="544" t="s">
        <v>502</v>
      </c>
      <c r="DF133" s="545">
        <v>112749000</v>
      </c>
      <c r="DG133" s="545">
        <v>47773621</v>
      </c>
      <c r="DH133" s="545">
        <v>66227282</v>
      </c>
      <c r="DI133" s="545">
        <v>46521718</v>
      </c>
      <c r="DJ133" s="546">
        <f t="shared" si="168"/>
        <v>112749</v>
      </c>
      <c r="DK133" s="546">
        <f t="shared" si="169"/>
        <v>47773.620999999999</v>
      </c>
      <c r="DL133" s="546">
        <f t="shared" si="170"/>
        <v>66227.282000000007</v>
      </c>
      <c r="DM133" s="546">
        <f t="shared" si="171"/>
        <v>46521.718000000001</v>
      </c>
      <c r="DT133" s="544" t="s">
        <v>502</v>
      </c>
      <c r="DU133" s="545">
        <v>112749000</v>
      </c>
      <c r="DV133" s="545">
        <v>54005686</v>
      </c>
      <c r="DW133" s="545">
        <v>87794615</v>
      </c>
      <c r="DX133" s="545">
        <v>24954385</v>
      </c>
      <c r="DY133" s="546">
        <f t="shared" si="172"/>
        <v>112749</v>
      </c>
      <c r="DZ133" s="546">
        <f t="shared" si="173"/>
        <v>54005.686000000002</v>
      </c>
      <c r="EA133" s="546">
        <f t="shared" si="174"/>
        <v>87794.615000000005</v>
      </c>
      <c r="EB133" s="546">
        <f t="shared" si="175"/>
        <v>24954.384999999998</v>
      </c>
      <c r="EI133" s="547" t="s">
        <v>868</v>
      </c>
      <c r="EJ133" s="546">
        <v>150000000</v>
      </c>
      <c r="EK133" s="546">
        <v>0</v>
      </c>
      <c r="EL133" s="546">
        <v>0</v>
      </c>
      <c r="EM133" s="548">
        <f t="shared" si="176"/>
        <v>150000</v>
      </c>
      <c r="EN133" s="548">
        <f t="shared" si="177"/>
        <v>0</v>
      </c>
      <c r="EO133" s="548">
        <f t="shared" si="178"/>
        <v>0</v>
      </c>
      <c r="EW133" s="544" t="s">
        <v>913</v>
      </c>
      <c r="EX133" s="545">
        <v>400000000</v>
      </c>
      <c r="EY133" s="545">
        <v>400000000</v>
      </c>
      <c r="EZ133" s="545">
        <v>400000000</v>
      </c>
      <c r="FA133" s="545">
        <v>400000000</v>
      </c>
      <c r="FB133" s="545">
        <v>0</v>
      </c>
      <c r="FC133" s="546">
        <f t="shared" si="179"/>
        <v>400000</v>
      </c>
      <c r="FD133" s="546">
        <f t="shared" si="180"/>
        <v>400000</v>
      </c>
      <c r="FE133" s="546">
        <f t="shared" si="181"/>
        <v>400000</v>
      </c>
      <c r="FF133" s="546">
        <f t="shared" si="182"/>
        <v>400000</v>
      </c>
      <c r="FG133" s="546">
        <f t="shared" si="183"/>
        <v>0</v>
      </c>
      <c r="FN133" s="549" t="s">
        <v>868</v>
      </c>
      <c r="FO133" s="550">
        <v>150000000</v>
      </c>
      <c r="FP133" s="550">
        <v>150000000</v>
      </c>
      <c r="FQ133" s="550">
        <v>150000000</v>
      </c>
      <c r="FR133" s="550">
        <f t="shared" si="184"/>
        <v>150000</v>
      </c>
      <c r="FS133" s="550">
        <f t="shared" si="185"/>
        <v>150000</v>
      </c>
      <c r="FT133" s="550">
        <f t="shared" si="186"/>
        <v>150000</v>
      </c>
    </row>
    <row r="134" spans="1:176" ht="15" customHeight="1" x14ac:dyDescent="0.25">
      <c r="A134" s="890" t="s">
        <v>888</v>
      </c>
      <c r="B134" s="544" t="s">
        <v>774</v>
      </c>
      <c r="C134" s="545">
        <v>33120000</v>
      </c>
      <c r="D134" s="545">
        <v>33120000</v>
      </c>
      <c r="E134" s="545">
        <v>0</v>
      </c>
      <c r="F134" s="545">
        <v>33120000</v>
      </c>
      <c r="G134" s="545">
        <v>0</v>
      </c>
      <c r="H134" s="546">
        <f t="shared" si="187"/>
        <v>34511.040000000001</v>
      </c>
      <c r="I134" s="546">
        <f t="shared" si="188"/>
        <v>0</v>
      </c>
      <c r="J134" s="546">
        <f t="shared" si="189"/>
        <v>34511.040000000001</v>
      </c>
      <c r="K134" s="546">
        <f t="shared" si="190"/>
        <v>0</v>
      </c>
      <c r="S134" s="544" t="s">
        <v>580</v>
      </c>
      <c r="T134" s="545">
        <v>262003000</v>
      </c>
      <c r="U134" s="545">
        <v>34710474</v>
      </c>
      <c r="V134" s="545">
        <v>43018224</v>
      </c>
      <c r="W134" s="545">
        <v>218984776</v>
      </c>
      <c r="X134" s="546">
        <f t="shared" si="148"/>
        <v>273007.12599999999</v>
      </c>
      <c r="Y134" s="546">
        <f t="shared" si="149"/>
        <v>36168.313908000004</v>
      </c>
      <c r="Z134" s="546">
        <f t="shared" si="150"/>
        <v>44824.989408000001</v>
      </c>
      <c r="AA134" s="546">
        <f t="shared" si="151"/>
        <v>228182.13659200002</v>
      </c>
      <c r="AG134" s="544" t="s">
        <v>579</v>
      </c>
      <c r="AH134" s="545">
        <v>108758000</v>
      </c>
      <c r="AI134" s="545">
        <v>0</v>
      </c>
      <c r="AJ134" s="545">
        <v>0</v>
      </c>
      <c r="AK134" s="545">
        <v>108758000</v>
      </c>
      <c r="AL134" s="545">
        <f t="shared" si="152"/>
        <v>108758</v>
      </c>
      <c r="AM134" s="545">
        <f t="shared" si="153"/>
        <v>0</v>
      </c>
      <c r="AN134" s="545">
        <f t="shared" si="154"/>
        <v>0</v>
      </c>
      <c r="AO134" s="545">
        <f t="shared" si="155"/>
        <v>108758</v>
      </c>
      <c r="AV134" s="544" t="s">
        <v>914</v>
      </c>
      <c r="AW134" s="545">
        <v>468334000</v>
      </c>
      <c r="AX134" s="545">
        <v>0</v>
      </c>
      <c r="AY134" s="545">
        <v>0</v>
      </c>
      <c r="AZ134" s="545">
        <v>468334000</v>
      </c>
      <c r="BA134" s="546">
        <f t="shared" si="156"/>
        <v>468334</v>
      </c>
      <c r="BB134" s="546">
        <f t="shared" si="157"/>
        <v>0</v>
      </c>
      <c r="BC134" s="546">
        <f t="shared" si="158"/>
        <v>0</v>
      </c>
      <c r="BD134" s="546">
        <f t="shared" si="159"/>
        <v>468334</v>
      </c>
      <c r="BK134" s="544" t="s">
        <v>473</v>
      </c>
      <c r="BL134" s="545">
        <v>837092000</v>
      </c>
      <c r="BM134" s="545">
        <v>0</v>
      </c>
      <c r="BN134" s="545">
        <v>0</v>
      </c>
      <c r="BO134" s="545">
        <v>837092000</v>
      </c>
      <c r="BP134" s="545">
        <f t="shared" si="160"/>
        <v>837092</v>
      </c>
      <c r="BQ134" s="545">
        <f t="shared" si="161"/>
        <v>0</v>
      </c>
      <c r="BR134" s="545">
        <f t="shared" si="162"/>
        <v>0</v>
      </c>
      <c r="BS134" s="545">
        <f t="shared" si="163"/>
        <v>837092</v>
      </c>
      <c r="BZ134" s="544" t="s">
        <v>473</v>
      </c>
      <c r="CA134" s="545">
        <v>837092000</v>
      </c>
      <c r="CB134" s="545">
        <v>260000000</v>
      </c>
      <c r="CC134" s="545">
        <v>260000000</v>
      </c>
      <c r="CD134" s="545">
        <v>577092000</v>
      </c>
      <c r="CE134" s="545">
        <f t="shared" si="164"/>
        <v>837092</v>
      </c>
      <c r="CF134" s="545">
        <f t="shared" si="165"/>
        <v>260000</v>
      </c>
      <c r="CG134" s="545">
        <f t="shared" si="166"/>
        <v>260000</v>
      </c>
      <c r="CH134" s="545">
        <f t="shared" si="167"/>
        <v>577092</v>
      </c>
      <c r="CP134" s="547" t="s">
        <v>914</v>
      </c>
      <c r="CQ134" s="546">
        <v>468334000</v>
      </c>
      <c r="CR134" s="546">
        <v>135527988</v>
      </c>
      <c r="CS134" s="546">
        <v>135527988</v>
      </c>
      <c r="CT134" s="546">
        <v>332806012</v>
      </c>
      <c r="CU134" s="546">
        <f t="shared" si="140"/>
        <v>468334</v>
      </c>
      <c r="CV134" s="546">
        <f t="shared" si="141"/>
        <v>135527.98800000001</v>
      </c>
      <c r="CW134" s="546">
        <f t="shared" si="142"/>
        <v>135527.98800000001</v>
      </c>
      <c r="CX134" s="546">
        <f t="shared" si="143"/>
        <v>332806.01199999999</v>
      </c>
      <c r="DE134" s="544" t="s">
        <v>473</v>
      </c>
      <c r="DF134" s="545">
        <v>837092000</v>
      </c>
      <c r="DG134" s="545">
        <v>504285988</v>
      </c>
      <c r="DH134" s="545">
        <v>504285988</v>
      </c>
      <c r="DI134" s="545">
        <v>332806012</v>
      </c>
      <c r="DJ134" s="546">
        <f t="shared" si="168"/>
        <v>837092</v>
      </c>
      <c r="DK134" s="546">
        <f t="shared" si="169"/>
        <v>504285.98800000001</v>
      </c>
      <c r="DL134" s="546">
        <f t="shared" si="170"/>
        <v>504285.98800000001</v>
      </c>
      <c r="DM134" s="546">
        <f t="shared" si="171"/>
        <v>332806.01199999999</v>
      </c>
      <c r="DT134" s="544" t="s">
        <v>473</v>
      </c>
      <c r="DU134" s="545">
        <v>1057092000</v>
      </c>
      <c r="DV134" s="545">
        <v>504285988</v>
      </c>
      <c r="DW134" s="545">
        <v>504285988</v>
      </c>
      <c r="DX134" s="545">
        <v>552806012</v>
      </c>
      <c r="DY134" s="546">
        <f t="shared" si="172"/>
        <v>1057092</v>
      </c>
      <c r="DZ134" s="546">
        <f t="shared" si="173"/>
        <v>504285.98800000001</v>
      </c>
      <c r="EA134" s="546">
        <f t="shared" si="174"/>
        <v>504285.98800000001</v>
      </c>
      <c r="EB134" s="546">
        <f t="shared" si="175"/>
        <v>552806.01199999999</v>
      </c>
      <c r="EI134" s="547" t="s">
        <v>912</v>
      </c>
      <c r="EJ134" s="546">
        <v>55000000</v>
      </c>
      <c r="EK134" s="546">
        <v>0</v>
      </c>
      <c r="EL134" s="546">
        <v>0</v>
      </c>
      <c r="EM134" s="548">
        <f t="shared" si="176"/>
        <v>55000</v>
      </c>
      <c r="EN134" s="548">
        <f t="shared" si="177"/>
        <v>0</v>
      </c>
      <c r="EO134" s="548">
        <f t="shared" si="178"/>
        <v>0</v>
      </c>
      <c r="EW134" s="544" t="s">
        <v>502</v>
      </c>
      <c r="EX134" s="545">
        <v>112749000</v>
      </c>
      <c r="EY134" s="545">
        <v>112749000</v>
      </c>
      <c r="EZ134" s="545">
        <v>71795088</v>
      </c>
      <c r="FA134" s="545">
        <v>85527231</v>
      </c>
      <c r="FB134" s="545">
        <v>27221769</v>
      </c>
      <c r="FC134" s="546">
        <f t="shared" si="179"/>
        <v>112749</v>
      </c>
      <c r="FD134" s="546">
        <f t="shared" si="180"/>
        <v>112749</v>
      </c>
      <c r="FE134" s="546">
        <f t="shared" si="181"/>
        <v>71795.088000000003</v>
      </c>
      <c r="FF134" s="546">
        <f t="shared" si="182"/>
        <v>85527.231</v>
      </c>
      <c r="FG134" s="546">
        <f t="shared" si="183"/>
        <v>27221.769</v>
      </c>
      <c r="FN134" s="549" t="s">
        <v>912</v>
      </c>
      <c r="FO134" s="550">
        <v>55000000</v>
      </c>
      <c r="FP134" s="550">
        <v>55000000</v>
      </c>
      <c r="FQ134" s="550">
        <v>55000000</v>
      </c>
      <c r="FR134" s="550">
        <f t="shared" si="184"/>
        <v>55000</v>
      </c>
      <c r="FS134" s="550">
        <f t="shared" si="185"/>
        <v>55000</v>
      </c>
      <c r="FT134" s="550">
        <f t="shared" si="186"/>
        <v>55000</v>
      </c>
    </row>
    <row r="135" spans="1:176" ht="15" customHeight="1" x14ac:dyDescent="0.25">
      <c r="A135" s="890" t="s">
        <v>431</v>
      </c>
      <c r="B135" s="544" t="s">
        <v>401</v>
      </c>
      <c r="C135" s="545">
        <v>228883000</v>
      </c>
      <c r="D135" s="545">
        <v>228883000</v>
      </c>
      <c r="E135" s="545">
        <v>20561625</v>
      </c>
      <c r="F135" s="545">
        <v>208321375</v>
      </c>
      <c r="G135" s="545">
        <v>4153875</v>
      </c>
      <c r="H135" s="546">
        <f t="shared" si="187"/>
        <v>238496.08600000001</v>
      </c>
      <c r="I135" s="546">
        <f t="shared" si="188"/>
        <v>21425.213250000001</v>
      </c>
      <c r="J135" s="546">
        <f t="shared" si="189"/>
        <v>217070.87275000001</v>
      </c>
      <c r="K135" s="546">
        <f t="shared" si="190"/>
        <v>4328.3377500000006</v>
      </c>
      <c r="S135" s="544" t="s">
        <v>774</v>
      </c>
      <c r="T135" s="545">
        <v>33120000</v>
      </c>
      <c r="U135" s="545">
        <v>22456599</v>
      </c>
      <c r="V135" s="545">
        <v>22456599</v>
      </c>
      <c r="W135" s="545">
        <v>10663401</v>
      </c>
      <c r="X135" s="546">
        <f t="shared" si="148"/>
        <v>34511.040000000001</v>
      </c>
      <c r="Y135" s="546">
        <f t="shared" si="149"/>
        <v>23399.776158000001</v>
      </c>
      <c r="Z135" s="546">
        <f t="shared" si="150"/>
        <v>23399.776158000001</v>
      </c>
      <c r="AA135" s="546">
        <f t="shared" si="151"/>
        <v>11111.263842</v>
      </c>
      <c r="AG135" s="544" t="s">
        <v>915</v>
      </c>
      <c r="AH135" s="545">
        <v>260000000</v>
      </c>
      <c r="AI135" s="545">
        <v>0</v>
      </c>
      <c r="AJ135" s="545">
        <v>0</v>
      </c>
      <c r="AK135" s="545">
        <v>260000000</v>
      </c>
      <c r="AL135" s="545">
        <f t="shared" si="152"/>
        <v>260000</v>
      </c>
      <c r="AM135" s="545">
        <f t="shared" si="153"/>
        <v>0</v>
      </c>
      <c r="AN135" s="545">
        <f t="shared" si="154"/>
        <v>0</v>
      </c>
      <c r="AO135" s="545">
        <f t="shared" si="155"/>
        <v>260000</v>
      </c>
      <c r="AV135" s="544" t="s">
        <v>579</v>
      </c>
      <c r="AW135" s="545">
        <v>108758000</v>
      </c>
      <c r="AX135" s="545">
        <v>0</v>
      </c>
      <c r="AY135" s="545">
        <v>0</v>
      </c>
      <c r="AZ135" s="545">
        <v>108758000</v>
      </c>
      <c r="BA135" s="546">
        <f t="shared" si="156"/>
        <v>108758</v>
      </c>
      <c r="BB135" s="546">
        <f t="shared" si="157"/>
        <v>0</v>
      </c>
      <c r="BC135" s="546">
        <f t="shared" si="158"/>
        <v>0</v>
      </c>
      <c r="BD135" s="546">
        <f t="shared" si="159"/>
        <v>108758</v>
      </c>
      <c r="BK135" s="544" t="s">
        <v>914</v>
      </c>
      <c r="BL135" s="545">
        <v>468334000</v>
      </c>
      <c r="BM135" s="545">
        <v>0</v>
      </c>
      <c r="BN135" s="545">
        <v>0</v>
      </c>
      <c r="BO135" s="545">
        <v>468334000</v>
      </c>
      <c r="BP135" s="545">
        <f t="shared" si="160"/>
        <v>468334</v>
      </c>
      <c r="BQ135" s="545">
        <f t="shared" si="161"/>
        <v>0</v>
      </c>
      <c r="BR135" s="545">
        <f t="shared" si="162"/>
        <v>0</v>
      </c>
      <c r="BS135" s="545">
        <f t="shared" si="163"/>
        <v>468334</v>
      </c>
      <c r="BZ135" s="544" t="s">
        <v>914</v>
      </c>
      <c r="CA135" s="545">
        <v>468334000</v>
      </c>
      <c r="CB135" s="545">
        <v>0</v>
      </c>
      <c r="CC135" s="545">
        <v>0</v>
      </c>
      <c r="CD135" s="545">
        <v>468334000</v>
      </c>
      <c r="CE135" s="545">
        <f t="shared" si="164"/>
        <v>468334</v>
      </c>
      <c r="CF135" s="545">
        <f t="shared" si="165"/>
        <v>0</v>
      </c>
      <c r="CG135" s="545">
        <f t="shared" si="166"/>
        <v>0</v>
      </c>
      <c r="CH135" s="545">
        <f t="shared" si="167"/>
        <v>468334</v>
      </c>
      <c r="CP135" s="547" t="s">
        <v>579</v>
      </c>
      <c r="CQ135" s="546">
        <v>108758000</v>
      </c>
      <c r="CR135" s="546">
        <v>108758000</v>
      </c>
      <c r="CS135" s="546">
        <v>108758000</v>
      </c>
      <c r="CT135" s="546">
        <v>0</v>
      </c>
      <c r="CU135" s="546">
        <f t="shared" si="140"/>
        <v>108758</v>
      </c>
      <c r="CV135" s="546">
        <f t="shared" si="141"/>
        <v>108758</v>
      </c>
      <c r="CW135" s="546">
        <f t="shared" si="142"/>
        <v>108758</v>
      </c>
      <c r="CX135" s="546">
        <f t="shared" si="143"/>
        <v>0</v>
      </c>
      <c r="DE135" s="544" t="s">
        <v>914</v>
      </c>
      <c r="DF135" s="545">
        <v>468334000</v>
      </c>
      <c r="DG135" s="545">
        <v>135527988</v>
      </c>
      <c r="DH135" s="545">
        <v>135527988</v>
      </c>
      <c r="DI135" s="545">
        <v>332806012</v>
      </c>
      <c r="DJ135" s="546">
        <f t="shared" si="168"/>
        <v>468334</v>
      </c>
      <c r="DK135" s="546">
        <f t="shared" si="169"/>
        <v>135527.98800000001</v>
      </c>
      <c r="DL135" s="546">
        <f t="shared" si="170"/>
        <v>135527.98800000001</v>
      </c>
      <c r="DM135" s="546">
        <f t="shared" si="171"/>
        <v>332806.01199999999</v>
      </c>
      <c r="DT135" s="544" t="s">
        <v>914</v>
      </c>
      <c r="DU135" s="545">
        <v>468334000</v>
      </c>
      <c r="DV135" s="545">
        <v>135527988</v>
      </c>
      <c r="DW135" s="545">
        <v>135527988</v>
      </c>
      <c r="DX135" s="545">
        <v>332806012</v>
      </c>
      <c r="DY135" s="546">
        <f t="shared" si="172"/>
        <v>468334</v>
      </c>
      <c r="DZ135" s="546">
        <f t="shared" si="173"/>
        <v>135527.98800000001</v>
      </c>
      <c r="EA135" s="546">
        <f t="shared" si="174"/>
        <v>135527.98800000001</v>
      </c>
      <c r="EB135" s="546">
        <f t="shared" si="175"/>
        <v>332806.01199999999</v>
      </c>
      <c r="EI135" s="547" t="s">
        <v>913</v>
      </c>
      <c r="EJ135" s="546">
        <v>400000000</v>
      </c>
      <c r="EK135" s="546">
        <v>400000000</v>
      </c>
      <c r="EL135" s="546">
        <v>400000000</v>
      </c>
      <c r="EM135" s="548">
        <f t="shared" si="176"/>
        <v>400000</v>
      </c>
      <c r="EN135" s="548">
        <f t="shared" si="177"/>
        <v>400000</v>
      </c>
      <c r="EO135" s="548">
        <f t="shared" si="178"/>
        <v>400000</v>
      </c>
      <c r="EW135" s="544" t="s">
        <v>473</v>
      </c>
      <c r="EX135" s="545">
        <v>1057092000</v>
      </c>
      <c r="EY135" s="545">
        <v>1057092000</v>
      </c>
      <c r="EZ135" s="545">
        <v>504285988</v>
      </c>
      <c r="FA135" s="545">
        <v>504285988</v>
      </c>
      <c r="FB135" s="545">
        <v>552806012</v>
      </c>
      <c r="FC135" s="546">
        <f t="shared" si="179"/>
        <v>1057092</v>
      </c>
      <c r="FD135" s="546">
        <f t="shared" si="180"/>
        <v>1057092</v>
      </c>
      <c r="FE135" s="546">
        <f t="shared" si="181"/>
        <v>504285.98800000001</v>
      </c>
      <c r="FF135" s="546">
        <f t="shared" si="182"/>
        <v>504285.98800000001</v>
      </c>
      <c r="FG135" s="546">
        <f t="shared" si="183"/>
        <v>552806.01199999999</v>
      </c>
      <c r="FN135" s="549" t="s">
        <v>913</v>
      </c>
      <c r="FO135" s="550">
        <v>400000000</v>
      </c>
      <c r="FP135" s="550">
        <v>400000000</v>
      </c>
      <c r="FQ135" s="550">
        <v>400000000</v>
      </c>
      <c r="FR135" s="550">
        <f t="shared" si="184"/>
        <v>400000</v>
      </c>
      <c r="FS135" s="550">
        <f t="shared" si="185"/>
        <v>400000</v>
      </c>
      <c r="FT135" s="550">
        <f t="shared" si="186"/>
        <v>400000</v>
      </c>
    </row>
    <row r="136" spans="1:176" ht="15" customHeight="1" x14ac:dyDescent="0.25">
      <c r="A136" s="890" t="s">
        <v>888</v>
      </c>
      <c r="B136" s="544" t="s">
        <v>582</v>
      </c>
      <c r="C136" s="545">
        <v>0</v>
      </c>
      <c r="D136" s="545">
        <v>139738375</v>
      </c>
      <c r="E136" s="545">
        <v>8100000</v>
      </c>
      <c r="F136" s="545">
        <v>131638375</v>
      </c>
      <c r="G136" s="545">
        <v>0</v>
      </c>
      <c r="H136" s="546">
        <f t="shared" si="187"/>
        <v>145607.38675000001</v>
      </c>
      <c r="I136" s="546">
        <f t="shared" si="188"/>
        <v>8440.2000000000007</v>
      </c>
      <c r="J136" s="546">
        <f t="shared" si="189"/>
        <v>137167.18674999999</v>
      </c>
      <c r="K136" s="546">
        <f t="shared" si="190"/>
        <v>0</v>
      </c>
      <c r="S136" s="544" t="s">
        <v>401</v>
      </c>
      <c r="T136" s="545">
        <v>228883000</v>
      </c>
      <c r="U136" s="545">
        <v>12253875</v>
      </c>
      <c r="V136" s="545">
        <v>20561625</v>
      </c>
      <c r="W136" s="545">
        <v>208321375</v>
      </c>
      <c r="X136" s="546">
        <f t="shared" si="148"/>
        <v>238496.08600000001</v>
      </c>
      <c r="Y136" s="546">
        <f t="shared" si="149"/>
        <v>12768.537750000001</v>
      </c>
      <c r="Z136" s="546">
        <f t="shared" si="150"/>
        <v>21425.213250000001</v>
      </c>
      <c r="AA136" s="546">
        <f t="shared" si="151"/>
        <v>217070.87275000001</v>
      </c>
      <c r="AG136" s="544" t="s">
        <v>597</v>
      </c>
      <c r="AH136" s="545">
        <v>171178000</v>
      </c>
      <c r="AI136" s="545">
        <v>79116193</v>
      </c>
      <c r="AJ136" s="545">
        <v>79213257</v>
      </c>
      <c r="AK136" s="545">
        <v>91964743</v>
      </c>
      <c r="AL136" s="545">
        <f t="shared" si="152"/>
        <v>171178</v>
      </c>
      <c r="AM136" s="545">
        <f t="shared" si="153"/>
        <v>79116.192999999999</v>
      </c>
      <c r="AN136" s="545">
        <f t="shared" si="154"/>
        <v>79213.256999999998</v>
      </c>
      <c r="AO136" s="545">
        <f t="shared" si="155"/>
        <v>91964.743000000002</v>
      </c>
      <c r="AV136" s="544" t="s">
        <v>915</v>
      </c>
      <c r="AW136" s="545">
        <v>260000000</v>
      </c>
      <c r="AX136" s="545">
        <v>0</v>
      </c>
      <c r="AY136" s="545">
        <v>0</v>
      </c>
      <c r="AZ136" s="545">
        <v>260000000</v>
      </c>
      <c r="BA136" s="546">
        <f t="shared" si="156"/>
        <v>260000</v>
      </c>
      <c r="BB136" s="546">
        <f t="shared" si="157"/>
        <v>0</v>
      </c>
      <c r="BC136" s="546">
        <f t="shared" si="158"/>
        <v>0</v>
      </c>
      <c r="BD136" s="546">
        <f t="shared" si="159"/>
        <v>260000</v>
      </c>
      <c r="BK136" s="544" t="s">
        <v>579</v>
      </c>
      <c r="BL136" s="545">
        <v>108758000</v>
      </c>
      <c r="BM136" s="545">
        <v>0</v>
      </c>
      <c r="BN136" s="545">
        <v>0</v>
      </c>
      <c r="BO136" s="545">
        <v>108758000</v>
      </c>
      <c r="BP136" s="545">
        <f t="shared" si="160"/>
        <v>108758</v>
      </c>
      <c r="BQ136" s="545">
        <f t="shared" si="161"/>
        <v>0</v>
      </c>
      <c r="BR136" s="545">
        <f t="shared" si="162"/>
        <v>0</v>
      </c>
      <c r="BS136" s="545">
        <f t="shared" si="163"/>
        <v>108758</v>
      </c>
      <c r="BZ136" s="544" t="s">
        <v>579</v>
      </c>
      <c r="CA136" s="545">
        <v>108758000</v>
      </c>
      <c r="CB136" s="545">
        <v>0</v>
      </c>
      <c r="CC136" s="545">
        <v>0</v>
      </c>
      <c r="CD136" s="545">
        <v>108758000</v>
      </c>
      <c r="CE136" s="545">
        <f t="shared" si="164"/>
        <v>108758</v>
      </c>
      <c r="CF136" s="545">
        <f t="shared" si="165"/>
        <v>0</v>
      </c>
      <c r="CG136" s="545">
        <f t="shared" si="166"/>
        <v>0</v>
      </c>
      <c r="CH136" s="545">
        <f t="shared" si="167"/>
        <v>108758</v>
      </c>
      <c r="CP136" s="547" t="s">
        <v>915</v>
      </c>
      <c r="CQ136" s="546">
        <v>260000000</v>
      </c>
      <c r="CR136" s="546">
        <v>260000000</v>
      </c>
      <c r="CS136" s="546">
        <v>260000000</v>
      </c>
      <c r="CT136" s="546">
        <v>0</v>
      </c>
      <c r="CU136" s="546">
        <f t="shared" si="140"/>
        <v>260000</v>
      </c>
      <c r="CV136" s="546">
        <f t="shared" si="141"/>
        <v>260000</v>
      </c>
      <c r="CW136" s="546">
        <f t="shared" si="142"/>
        <v>260000</v>
      </c>
      <c r="CX136" s="546">
        <f t="shared" si="143"/>
        <v>0</v>
      </c>
      <c r="DE136" s="544" t="s">
        <v>579</v>
      </c>
      <c r="DF136" s="545">
        <v>108758000</v>
      </c>
      <c r="DG136" s="545">
        <v>108758000</v>
      </c>
      <c r="DH136" s="545">
        <v>108758000</v>
      </c>
      <c r="DI136" s="545">
        <v>0</v>
      </c>
      <c r="DJ136" s="546">
        <f t="shared" si="168"/>
        <v>108758</v>
      </c>
      <c r="DK136" s="546">
        <f t="shared" si="169"/>
        <v>108758</v>
      </c>
      <c r="DL136" s="546">
        <f t="shared" si="170"/>
        <v>108758</v>
      </c>
      <c r="DM136" s="546">
        <f t="shared" si="171"/>
        <v>0</v>
      </c>
      <c r="DT136" s="544" t="s">
        <v>579</v>
      </c>
      <c r="DU136" s="545">
        <v>108758000</v>
      </c>
      <c r="DV136" s="545">
        <v>108758000</v>
      </c>
      <c r="DW136" s="545">
        <v>108758000</v>
      </c>
      <c r="DX136" s="545">
        <v>0</v>
      </c>
      <c r="DY136" s="546">
        <f t="shared" si="172"/>
        <v>108758</v>
      </c>
      <c r="DZ136" s="546">
        <f t="shared" si="173"/>
        <v>108758</v>
      </c>
      <c r="EA136" s="546">
        <f t="shared" si="174"/>
        <v>108758</v>
      </c>
      <c r="EB136" s="546">
        <f t="shared" si="175"/>
        <v>0</v>
      </c>
      <c r="EI136" s="547" t="s">
        <v>502</v>
      </c>
      <c r="EJ136" s="546">
        <v>112749000</v>
      </c>
      <c r="EK136" s="546">
        <v>83813631</v>
      </c>
      <c r="EL136" s="546">
        <v>62229320</v>
      </c>
      <c r="EM136" s="548">
        <f t="shared" si="176"/>
        <v>112749</v>
      </c>
      <c r="EN136" s="548">
        <f t="shared" si="177"/>
        <v>83813.630999999994</v>
      </c>
      <c r="EO136" s="548">
        <f t="shared" si="178"/>
        <v>62229.32</v>
      </c>
      <c r="EW136" s="544" t="s">
        <v>914</v>
      </c>
      <c r="EX136" s="545">
        <v>468334000</v>
      </c>
      <c r="EY136" s="545">
        <v>468334000</v>
      </c>
      <c r="EZ136" s="545">
        <v>135527988</v>
      </c>
      <c r="FA136" s="545">
        <v>135527988</v>
      </c>
      <c r="FB136" s="545">
        <v>332806012</v>
      </c>
      <c r="FC136" s="546">
        <f t="shared" si="179"/>
        <v>468334</v>
      </c>
      <c r="FD136" s="546">
        <f t="shared" si="180"/>
        <v>468334</v>
      </c>
      <c r="FE136" s="546">
        <f t="shared" si="181"/>
        <v>135527.98800000001</v>
      </c>
      <c r="FF136" s="546">
        <f t="shared" si="182"/>
        <v>135527.98800000001</v>
      </c>
      <c r="FG136" s="546">
        <f t="shared" si="183"/>
        <v>332806.01199999999</v>
      </c>
      <c r="FN136" s="549" t="s">
        <v>502</v>
      </c>
      <c r="FO136" s="550">
        <v>113891000</v>
      </c>
      <c r="FP136" s="550">
        <v>85087256</v>
      </c>
      <c r="FQ136" s="550">
        <v>85523553</v>
      </c>
      <c r="FR136" s="550">
        <f t="shared" si="184"/>
        <v>113891</v>
      </c>
      <c r="FS136" s="550">
        <f t="shared" si="185"/>
        <v>85087.255999999994</v>
      </c>
      <c r="FT136" s="550">
        <f t="shared" si="186"/>
        <v>85523.553</v>
      </c>
    </row>
    <row r="137" spans="1:176" ht="15" customHeight="1" x14ac:dyDescent="0.25">
      <c r="A137" s="890" t="s">
        <v>888</v>
      </c>
      <c r="B137" s="544" t="s">
        <v>767</v>
      </c>
      <c r="C137" s="545">
        <v>0</v>
      </c>
      <c r="D137" s="545">
        <v>89144625</v>
      </c>
      <c r="E137" s="545">
        <v>12461625</v>
      </c>
      <c r="F137" s="545">
        <v>76683000</v>
      </c>
      <c r="G137" s="545">
        <v>4153875</v>
      </c>
      <c r="H137" s="546">
        <f t="shared" si="187"/>
        <v>92888.699250000005</v>
      </c>
      <c r="I137" s="546">
        <f t="shared" si="188"/>
        <v>12985.01325</v>
      </c>
      <c r="J137" s="546">
        <f t="shared" si="189"/>
        <v>79903.686000000002</v>
      </c>
      <c r="K137" s="546">
        <f t="shared" si="190"/>
        <v>4328.3377500000006</v>
      </c>
      <c r="S137" s="544" t="s">
        <v>582</v>
      </c>
      <c r="T137" s="545">
        <v>139738375</v>
      </c>
      <c r="U137" s="545">
        <v>8100000</v>
      </c>
      <c r="V137" s="545">
        <v>8100000</v>
      </c>
      <c r="W137" s="545">
        <v>131638375</v>
      </c>
      <c r="X137" s="546">
        <f t="shared" si="148"/>
        <v>145607.38675000001</v>
      </c>
      <c r="Y137" s="546">
        <f t="shared" si="149"/>
        <v>8440.2000000000007</v>
      </c>
      <c r="Z137" s="546">
        <f t="shared" si="150"/>
        <v>8440.2000000000007</v>
      </c>
      <c r="AA137" s="546">
        <f t="shared" si="151"/>
        <v>137167.18674999999</v>
      </c>
      <c r="AG137" s="544" t="s">
        <v>598</v>
      </c>
      <c r="AH137" s="545">
        <v>171178000</v>
      </c>
      <c r="AI137" s="545">
        <v>79116193</v>
      </c>
      <c r="AJ137" s="545">
        <v>79213257</v>
      </c>
      <c r="AK137" s="545">
        <v>91964743</v>
      </c>
      <c r="AL137" s="545">
        <f t="shared" si="152"/>
        <v>171178</v>
      </c>
      <c r="AM137" s="545">
        <f t="shared" si="153"/>
        <v>79116.192999999999</v>
      </c>
      <c r="AN137" s="545">
        <f t="shared" si="154"/>
        <v>79213.256999999998</v>
      </c>
      <c r="AO137" s="545">
        <f t="shared" si="155"/>
        <v>91964.743000000002</v>
      </c>
      <c r="AV137" s="544" t="s">
        <v>597</v>
      </c>
      <c r="AW137" s="545">
        <v>171178000</v>
      </c>
      <c r="AX137" s="545">
        <v>106505547</v>
      </c>
      <c r="AY137" s="545">
        <v>106602611</v>
      </c>
      <c r="AZ137" s="545">
        <v>64575389</v>
      </c>
      <c r="BA137" s="546">
        <f t="shared" si="156"/>
        <v>171178</v>
      </c>
      <c r="BB137" s="546">
        <f t="shared" si="157"/>
        <v>106505.54700000001</v>
      </c>
      <c r="BC137" s="546">
        <f t="shared" si="158"/>
        <v>106602.611</v>
      </c>
      <c r="BD137" s="546">
        <f t="shared" si="159"/>
        <v>64575.389000000003</v>
      </c>
      <c r="BK137" s="544" t="s">
        <v>915</v>
      </c>
      <c r="BL137" s="545">
        <v>260000000</v>
      </c>
      <c r="BM137" s="545">
        <v>0</v>
      </c>
      <c r="BN137" s="545">
        <v>0</v>
      </c>
      <c r="BO137" s="545">
        <v>260000000</v>
      </c>
      <c r="BP137" s="545">
        <f t="shared" si="160"/>
        <v>260000</v>
      </c>
      <c r="BQ137" s="545">
        <f t="shared" si="161"/>
        <v>0</v>
      </c>
      <c r="BR137" s="545">
        <f t="shared" si="162"/>
        <v>0</v>
      </c>
      <c r="BS137" s="545">
        <f t="shared" si="163"/>
        <v>260000</v>
      </c>
      <c r="BZ137" s="544" t="s">
        <v>915</v>
      </c>
      <c r="CA137" s="545">
        <v>260000000</v>
      </c>
      <c r="CB137" s="545">
        <v>260000000</v>
      </c>
      <c r="CC137" s="545">
        <v>260000000</v>
      </c>
      <c r="CD137" s="545">
        <v>0</v>
      </c>
      <c r="CE137" s="545">
        <f t="shared" si="164"/>
        <v>260000</v>
      </c>
      <c r="CF137" s="545">
        <f t="shared" si="165"/>
        <v>260000</v>
      </c>
      <c r="CG137" s="545">
        <f t="shared" si="166"/>
        <v>260000</v>
      </c>
      <c r="CH137" s="545">
        <f t="shared" si="167"/>
        <v>0</v>
      </c>
      <c r="CP137" s="547" t="s">
        <v>597</v>
      </c>
      <c r="CQ137" s="546">
        <v>171178000</v>
      </c>
      <c r="CR137" s="546">
        <v>262275304</v>
      </c>
      <c r="CS137" s="546">
        <v>262372368</v>
      </c>
      <c r="CT137" s="546">
        <v>-91194368</v>
      </c>
      <c r="CU137" s="546">
        <f t="shared" si="140"/>
        <v>171178</v>
      </c>
      <c r="CV137" s="546">
        <f t="shared" si="141"/>
        <v>262275.304</v>
      </c>
      <c r="CW137" s="546">
        <f t="shared" si="142"/>
        <v>262372.36800000002</v>
      </c>
      <c r="CX137" s="546">
        <f t="shared" si="143"/>
        <v>-91194.368000000002</v>
      </c>
      <c r="DE137" s="544" t="s">
        <v>915</v>
      </c>
      <c r="DF137" s="545">
        <v>260000000</v>
      </c>
      <c r="DG137" s="545">
        <v>260000000</v>
      </c>
      <c r="DH137" s="545">
        <v>260000000</v>
      </c>
      <c r="DI137" s="545">
        <v>0</v>
      </c>
      <c r="DJ137" s="546">
        <f t="shared" si="168"/>
        <v>260000</v>
      </c>
      <c r="DK137" s="546">
        <f t="shared" si="169"/>
        <v>260000</v>
      </c>
      <c r="DL137" s="546">
        <f t="shared" si="170"/>
        <v>260000</v>
      </c>
      <c r="DM137" s="546">
        <f t="shared" si="171"/>
        <v>0</v>
      </c>
      <c r="DT137" s="544" t="s">
        <v>915</v>
      </c>
      <c r="DU137" s="545">
        <v>260000000</v>
      </c>
      <c r="DV137" s="545">
        <v>260000000</v>
      </c>
      <c r="DW137" s="545">
        <v>260000000</v>
      </c>
      <c r="DX137" s="545">
        <v>0</v>
      </c>
      <c r="DY137" s="546">
        <f t="shared" si="172"/>
        <v>260000</v>
      </c>
      <c r="DZ137" s="546">
        <f t="shared" si="173"/>
        <v>260000</v>
      </c>
      <c r="EA137" s="546">
        <f t="shared" si="174"/>
        <v>260000</v>
      </c>
      <c r="EB137" s="546">
        <f t="shared" si="175"/>
        <v>0</v>
      </c>
      <c r="EI137" s="547" t="s">
        <v>473</v>
      </c>
      <c r="EJ137" s="546">
        <v>1057092000</v>
      </c>
      <c r="EK137" s="546">
        <v>504285988</v>
      </c>
      <c r="EL137" s="546">
        <v>504285988</v>
      </c>
      <c r="EM137" s="548">
        <f t="shared" si="176"/>
        <v>1057092</v>
      </c>
      <c r="EN137" s="548">
        <f t="shared" si="177"/>
        <v>504285.98800000001</v>
      </c>
      <c r="EO137" s="548">
        <f t="shared" si="178"/>
        <v>504285.98800000001</v>
      </c>
      <c r="EW137" s="544" t="s">
        <v>579</v>
      </c>
      <c r="EX137" s="545">
        <v>108758000</v>
      </c>
      <c r="EY137" s="545">
        <v>108758000</v>
      </c>
      <c r="EZ137" s="545">
        <v>108758000</v>
      </c>
      <c r="FA137" s="545">
        <v>108758000</v>
      </c>
      <c r="FB137" s="545">
        <v>0</v>
      </c>
      <c r="FC137" s="546">
        <f t="shared" si="179"/>
        <v>108758</v>
      </c>
      <c r="FD137" s="546">
        <f t="shared" si="180"/>
        <v>108758</v>
      </c>
      <c r="FE137" s="546">
        <f t="shared" si="181"/>
        <v>108758</v>
      </c>
      <c r="FF137" s="546">
        <f t="shared" si="182"/>
        <v>108758</v>
      </c>
      <c r="FG137" s="546">
        <f t="shared" si="183"/>
        <v>0</v>
      </c>
      <c r="FN137" s="549" t="s">
        <v>473</v>
      </c>
      <c r="FO137" s="550">
        <v>1057092000</v>
      </c>
      <c r="FP137" s="550">
        <v>1014885988</v>
      </c>
      <c r="FQ137" s="550">
        <v>1014885988</v>
      </c>
      <c r="FR137" s="550">
        <f t="shared" si="184"/>
        <v>1057092</v>
      </c>
      <c r="FS137" s="550">
        <f t="shared" si="185"/>
        <v>1014885.988</v>
      </c>
      <c r="FT137" s="550">
        <f t="shared" si="186"/>
        <v>1014885.988</v>
      </c>
    </row>
    <row r="138" spans="1:176" ht="15" customHeight="1" x14ac:dyDescent="0.25">
      <c r="A138" s="890" t="s">
        <v>889</v>
      </c>
      <c r="B138" s="544" t="s">
        <v>881</v>
      </c>
      <c r="C138" s="545">
        <v>192052970000</v>
      </c>
      <c r="D138" s="545">
        <v>0</v>
      </c>
      <c r="E138" s="545">
        <v>0</v>
      </c>
      <c r="F138" s="545">
        <v>0</v>
      </c>
      <c r="G138" s="545">
        <v>0</v>
      </c>
      <c r="H138" s="546">
        <f t="shared" si="187"/>
        <v>0</v>
      </c>
      <c r="I138" s="546">
        <f t="shared" si="188"/>
        <v>0</v>
      </c>
      <c r="J138" s="546">
        <f t="shared" si="189"/>
        <v>0</v>
      </c>
      <c r="K138" s="546">
        <f t="shared" si="190"/>
        <v>0</v>
      </c>
      <c r="S138" s="544" t="s">
        <v>767</v>
      </c>
      <c r="T138" s="545">
        <v>89144625</v>
      </c>
      <c r="U138" s="545">
        <v>4153875</v>
      </c>
      <c r="V138" s="545">
        <v>12461625</v>
      </c>
      <c r="W138" s="545">
        <v>76683000</v>
      </c>
      <c r="X138" s="546">
        <f t="shared" si="148"/>
        <v>92888.699250000005</v>
      </c>
      <c r="Y138" s="546">
        <f t="shared" si="149"/>
        <v>4328.3377500000006</v>
      </c>
      <c r="Z138" s="546">
        <f t="shared" si="150"/>
        <v>12985.01325</v>
      </c>
      <c r="AA138" s="546">
        <f t="shared" si="151"/>
        <v>79903.686000000002</v>
      </c>
      <c r="AG138" s="544" t="s">
        <v>852</v>
      </c>
      <c r="AH138" s="545">
        <v>71000000</v>
      </c>
      <c r="AI138" s="545">
        <v>79116193</v>
      </c>
      <c r="AJ138" s="545">
        <v>79116193</v>
      </c>
      <c r="AK138" s="545">
        <v>-8116193</v>
      </c>
      <c r="AL138" s="545">
        <f t="shared" si="152"/>
        <v>71000</v>
      </c>
      <c r="AM138" s="545">
        <f t="shared" si="153"/>
        <v>79116.192999999999</v>
      </c>
      <c r="AN138" s="545">
        <f t="shared" si="154"/>
        <v>79116.192999999999</v>
      </c>
      <c r="AO138" s="545">
        <f t="shared" si="155"/>
        <v>-8116.1930000000002</v>
      </c>
      <c r="AV138" s="544" t="s">
        <v>598</v>
      </c>
      <c r="AW138" s="545">
        <v>171178000</v>
      </c>
      <c r="AX138" s="545">
        <v>106505547</v>
      </c>
      <c r="AY138" s="545">
        <v>106602611</v>
      </c>
      <c r="AZ138" s="545">
        <v>64575389</v>
      </c>
      <c r="BA138" s="546">
        <f t="shared" si="156"/>
        <v>171178</v>
      </c>
      <c r="BB138" s="546">
        <f t="shared" si="157"/>
        <v>106505.54700000001</v>
      </c>
      <c r="BC138" s="546">
        <f t="shared" si="158"/>
        <v>106602.611</v>
      </c>
      <c r="BD138" s="546">
        <f t="shared" si="159"/>
        <v>64575.389000000003</v>
      </c>
      <c r="BK138" s="544" t="s">
        <v>597</v>
      </c>
      <c r="BL138" s="545">
        <v>171178000</v>
      </c>
      <c r="BM138" s="545">
        <v>212985743</v>
      </c>
      <c r="BN138" s="545">
        <v>213082807</v>
      </c>
      <c r="BO138" s="545">
        <v>-41904807</v>
      </c>
      <c r="BP138" s="545">
        <f t="shared" si="160"/>
        <v>171178</v>
      </c>
      <c r="BQ138" s="545">
        <f t="shared" si="161"/>
        <v>212985.74299999999</v>
      </c>
      <c r="BR138" s="545">
        <f t="shared" si="162"/>
        <v>213082.807</v>
      </c>
      <c r="BS138" s="545">
        <f t="shared" si="163"/>
        <v>-41904.807000000001</v>
      </c>
      <c r="BZ138" s="544" t="s">
        <v>597</v>
      </c>
      <c r="CA138" s="545">
        <v>171178000</v>
      </c>
      <c r="CB138" s="545">
        <v>240948039</v>
      </c>
      <c r="CC138" s="545">
        <v>241045103</v>
      </c>
      <c r="CD138" s="545">
        <v>-69867103</v>
      </c>
      <c r="CE138" s="545">
        <f t="shared" si="164"/>
        <v>171178</v>
      </c>
      <c r="CF138" s="545">
        <f t="shared" si="165"/>
        <v>240948.03899999999</v>
      </c>
      <c r="CG138" s="545">
        <f t="shared" si="166"/>
        <v>241045.103</v>
      </c>
      <c r="CH138" s="545">
        <f t="shared" si="167"/>
        <v>-69867.103000000003</v>
      </c>
      <c r="CP138" s="547" t="s">
        <v>598</v>
      </c>
      <c r="CQ138" s="546">
        <v>171178000</v>
      </c>
      <c r="CR138" s="546">
        <v>262275304</v>
      </c>
      <c r="CS138" s="546">
        <v>262372368</v>
      </c>
      <c r="CT138" s="546">
        <v>-91194368</v>
      </c>
      <c r="CU138" s="546">
        <f t="shared" si="140"/>
        <v>171178</v>
      </c>
      <c r="CV138" s="546">
        <f t="shared" si="141"/>
        <v>262275.304</v>
      </c>
      <c r="CW138" s="546">
        <f t="shared" si="142"/>
        <v>262372.36800000002</v>
      </c>
      <c r="CX138" s="546">
        <f t="shared" si="143"/>
        <v>-91194.368000000002</v>
      </c>
      <c r="DE138" s="544" t="s">
        <v>597</v>
      </c>
      <c r="DF138" s="545">
        <v>171178000</v>
      </c>
      <c r="DG138" s="545">
        <v>319483919</v>
      </c>
      <c r="DH138" s="545">
        <v>319580983</v>
      </c>
      <c r="DI138" s="545">
        <v>-148402983</v>
      </c>
      <c r="DJ138" s="546">
        <f t="shared" si="168"/>
        <v>171178</v>
      </c>
      <c r="DK138" s="546">
        <f t="shared" si="169"/>
        <v>319483.91899999999</v>
      </c>
      <c r="DL138" s="546">
        <f t="shared" si="170"/>
        <v>319580.98300000001</v>
      </c>
      <c r="DM138" s="546">
        <f t="shared" si="171"/>
        <v>-148402.98300000001</v>
      </c>
      <c r="DT138" s="544" t="s">
        <v>967</v>
      </c>
      <c r="DU138" s="545">
        <v>220000000</v>
      </c>
      <c r="DV138" s="545">
        <v>0</v>
      </c>
      <c r="DW138" s="545">
        <v>0</v>
      </c>
      <c r="DX138" s="545">
        <v>220000000</v>
      </c>
      <c r="DY138" s="546">
        <f t="shared" si="172"/>
        <v>220000</v>
      </c>
      <c r="DZ138" s="546">
        <f t="shared" si="173"/>
        <v>0</v>
      </c>
      <c r="EA138" s="546">
        <f t="shared" si="174"/>
        <v>0</v>
      </c>
      <c r="EB138" s="546">
        <f t="shared" si="175"/>
        <v>220000</v>
      </c>
      <c r="EI138" s="547" t="s">
        <v>914</v>
      </c>
      <c r="EJ138" s="546">
        <v>468334000</v>
      </c>
      <c r="EK138" s="546">
        <v>135527988</v>
      </c>
      <c r="EL138" s="546">
        <v>135527988</v>
      </c>
      <c r="EM138" s="548">
        <f t="shared" si="176"/>
        <v>468334</v>
      </c>
      <c r="EN138" s="548">
        <f t="shared" si="177"/>
        <v>135527.98800000001</v>
      </c>
      <c r="EO138" s="548">
        <f t="shared" si="178"/>
        <v>135527.98800000001</v>
      </c>
      <c r="EW138" s="544" t="s">
        <v>915</v>
      </c>
      <c r="EX138" s="545">
        <v>260000000</v>
      </c>
      <c r="EY138" s="545">
        <v>260000000</v>
      </c>
      <c r="EZ138" s="545">
        <v>260000000</v>
      </c>
      <c r="FA138" s="545">
        <v>260000000</v>
      </c>
      <c r="FB138" s="545">
        <v>0</v>
      </c>
      <c r="FC138" s="546">
        <f t="shared" si="179"/>
        <v>260000</v>
      </c>
      <c r="FD138" s="546">
        <f t="shared" si="180"/>
        <v>260000</v>
      </c>
      <c r="FE138" s="546">
        <f t="shared" si="181"/>
        <v>260000</v>
      </c>
      <c r="FF138" s="546">
        <f t="shared" si="182"/>
        <v>260000</v>
      </c>
      <c r="FG138" s="546">
        <f t="shared" si="183"/>
        <v>0</v>
      </c>
      <c r="FN138" s="549" t="s">
        <v>914</v>
      </c>
      <c r="FO138" s="550">
        <v>468334000</v>
      </c>
      <c r="FP138" s="550">
        <v>435527988</v>
      </c>
      <c r="FQ138" s="550">
        <v>435527988</v>
      </c>
      <c r="FR138" s="550">
        <f t="shared" si="184"/>
        <v>468334</v>
      </c>
      <c r="FS138" s="550">
        <f t="shared" si="185"/>
        <v>435527.98800000001</v>
      </c>
      <c r="FT138" s="550">
        <f t="shared" si="186"/>
        <v>435527.98800000001</v>
      </c>
    </row>
    <row r="139" spans="1:176" ht="15" customHeight="1" x14ac:dyDescent="0.25">
      <c r="A139" s="890" t="s">
        <v>889</v>
      </c>
      <c r="B139" s="544" t="s">
        <v>882</v>
      </c>
      <c r="C139" s="545">
        <v>192052970000</v>
      </c>
      <c r="D139" s="545">
        <v>0</v>
      </c>
      <c r="E139" s="545">
        <v>0</v>
      </c>
      <c r="F139" s="545">
        <v>0</v>
      </c>
      <c r="G139" s="545">
        <v>0</v>
      </c>
      <c r="H139" s="546">
        <f t="shared" si="187"/>
        <v>0</v>
      </c>
      <c r="I139" s="546">
        <f t="shared" si="188"/>
        <v>0</v>
      </c>
      <c r="J139" s="546">
        <f t="shared" si="189"/>
        <v>0</v>
      </c>
      <c r="K139" s="546">
        <f t="shared" si="190"/>
        <v>0</v>
      </c>
      <c r="S139" s="544" t="s">
        <v>881</v>
      </c>
      <c r="T139" s="545">
        <v>192052970000</v>
      </c>
      <c r="U139" s="545">
        <v>210102000</v>
      </c>
      <c r="V139" s="545">
        <v>1080957000</v>
      </c>
      <c r="W139" s="545">
        <v>190972013000</v>
      </c>
      <c r="X139" s="546">
        <f t="shared" si="148"/>
        <v>200119194.74000001</v>
      </c>
      <c r="Y139" s="546">
        <f t="shared" si="149"/>
        <v>218926.28400000001</v>
      </c>
      <c r="Z139" s="546">
        <f t="shared" si="150"/>
        <v>1126357.1940000001</v>
      </c>
      <c r="AA139" s="546">
        <f t="shared" si="151"/>
        <v>198992837.546</v>
      </c>
      <c r="AG139" s="544" t="s">
        <v>857</v>
      </c>
      <c r="AH139" s="545">
        <v>100000</v>
      </c>
      <c r="AI139" s="545">
        <v>0</v>
      </c>
      <c r="AJ139" s="545">
        <v>0</v>
      </c>
      <c r="AK139" s="545">
        <v>100000</v>
      </c>
      <c r="AL139" s="545">
        <f t="shared" si="152"/>
        <v>100</v>
      </c>
      <c r="AM139" s="545">
        <f t="shared" si="153"/>
        <v>0</v>
      </c>
      <c r="AN139" s="545">
        <f t="shared" si="154"/>
        <v>0</v>
      </c>
      <c r="AO139" s="545">
        <f t="shared" si="155"/>
        <v>100</v>
      </c>
      <c r="AV139" s="544" t="s">
        <v>852</v>
      </c>
      <c r="AW139" s="545">
        <v>71000000</v>
      </c>
      <c r="AX139" s="545">
        <v>106505547</v>
      </c>
      <c r="AY139" s="545">
        <v>106505547</v>
      </c>
      <c r="AZ139" s="545">
        <v>-35505547</v>
      </c>
      <c r="BA139" s="546">
        <f t="shared" si="156"/>
        <v>71000</v>
      </c>
      <c r="BB139" s="546">
        <f t="shared" si="157"/>
        <v>106505.54700000001</v>
      </c>
      <c r="BC139" s="546">
        <f t="shared" si="158"/>
        <v>106505.54700000001</v>
      </c>
      <c r="BD139" s="546">
        <f t="shared" si="159"/>
        <v>-35505.546999999999</v>
      </c>
      <c r="BK139" s="544" t="s">
        <v>598</v>
      </c>
      <c r="BL139" s="545">
        <v>171178000</v>
      </c>
      <c r="BM139" s="545">
        <v>212985743</v>
      </c>
      <c r="BN139" s="545">
        <v>213082807</v>
      </c>
      <c r="BO139" s="545">
        <v>-41904807</v>
      </c>
      <c r="BP139" s="545">
        <f t="shared" si="160"/>
        <v>171178</v>
      </c>
      <c r="BQ139" s="545">
        <f t="shared" si="161"/>
        <v>212985.74299999999</v>
      </c>
      <c r="BR139" s="545">
        <f t="shared" si="162"/>
        <v>213082.807</v>
      </c>
      <c r="BS139" s="545">
        <f t="shared" si="163"/>
        <v>-41904.807000000001</v>
      </c>
      <c r="BZ139" s="544" t="s">
        <v>598</v>
      </c>
      <c r="CA139" s="545">
        <v>171178000</v>
      </c>
      <c r="CB139" s="545">
        <v>240948039</v>
      </c>
      <c r="CC139" s="545">
        <v>241045103</v>
      </c>
      <c r="CD139" s="545">
        <v>-69867103</v>
      </c>
      <c r="CE139" s="545">
        <f t="shared" si="164"/>
        <v>171178</v>
      </c>
      <c r="CF139" s="545">
        <f t="shared" si="165"/>
        <v>240948.03899999999</v>
      </c>
      <c r="CG139" s="545">
        <f t="shared" si="166"/>
        <v>241045.103</v>
      </c>
      <c r="CH139" s="545">
        <f t="shared" si="167"/>
        <v>-69867.103000000003</v>
      </c>
      <c r="CP139" s="547" t="s">
        <v>852</v>
      </c>
      <c r="CQ139" s="546">
        <v>71000000</v>
      </c>
      <c r="CR139" s="546">
        <v>262275304</v>
      </c>
      <c r="CS139" s="546">
        <v>262275304</v>
      </c>
      <c r="CT139" s="546">
        <v>-191275304</v>
      </c>
      <c r="CU139" s="546">
        <f t="shared" si="140"/>
        <v>71000</v>
      </c>
      <c r="CV139" s="546">
        <f t="shared" si="141"/>
        <v>262275.304</v>
      </c>
      <c r="CW139" s="546">
        <f t="shared" si="142"/>
        <v>262275.304</v>
      </c>
      <c r="CX139" s="546">
        <f t="shared" si="143"/>
        <v>-191275.304</v>
      </c>
      <c r="DE139" s="544" t="s">
        <v>598</v>
      </c>
      <c r="DF139" s="545">
        <v>171178000</v>
      </c>
      <c r="DG139" s="545">
        <v>319483919</v>
      </c>
      <c r="DH139" s="545">
        <v>319580983</v>
      </c>
      <c r="DI139" s="545">
        <v>-148402983</v>
      </c>
      <c r="DJ139" s="546">
        <f t="shared" si="168"/>
        <v>171178</v>
      </c>
      <c r="DK139" s="546">
        <f t="shared" si="169"/>
        <v>319483.91899999999</v>
      </c>
      <c r="DL139" s="546">
        <f t="shared" si="170"/>
        <v>319580.98300000001</v>
      </c>
      <c r="DM139" s="546">
        <f t="shared" si="171"/>
        <v>-148402.98300000001</v>
      </c>
      <c r="DT139" s="544" t="s">
        <v>597</v>
      </c>
      <c r="DU139" s="545">
        <v>171178000</v>
      </c>
      <c r="DV139" s="545">
        <v>376229488</v>
      </c>
      <c r="DW139" s="545">
        <v>376326552</v>
      </c>
      <c r="DX139" s="545">
        <v>-205148552</v>
      </c>
      <c r="DY139" s="546">
        <f t="shared" si="172"/>
        <v>171178</v>
      </c>
      <c r="DZ139" s="546">
        <f t="shared" si="173"/>
        <v>376229.48800000001</v>
      </c>
      <c r="EA139" s="546">
        <f t="shared" si="174"/>
        <v>376326.55200000003</v>
      </c>
      <c r="EB139" s="546">
        <f t="shared" si="175"/>
        <v>-205148.552</v>
      </c>
      <c r="EI139" s="547" t="s">
        <v>579</v>
      </c>
      <c r="EJ139" s="546">
        <v>108758000</v>
      </c>
      <c r="EK139" s="546">
        <v>108758000</v>
      </c>
      <c r="EL139" s="546">
        <v>108758000</v>
      </c>
      <c r="EM139" s="548">
        <f t="shared" si="176"/>
        <v>108758</v>
      </c>
      <c r="EN139" s="548">
        <f t="shared" si="177"/>
        <v>108758</v>
      </c>
      <c r="EO139" s="548">
        <f t="shared" si="178"/>
        <v>108758</v>
      </c>
      <c r="EW139" s="544" t="s">
        <v>967</v>
      </c>
      <c r="EX139" s="545">
        <v>220000000</v>
      </c>
      <c r="EY139" s="545">
        <v>220000000</v>
      </c>
      <c r="EZ139" s="545">
        <v>0</v>
      </c>
      <c r="FA139" s="545">
        <v>0</v>
      </c>
      <c r="FB139" s="545">
        <v>220000000</v>
      </c>
      <c r="FC139" s="546">
        <f t="shared" si="179"/>
        <v>220000</v>
      </c>
      <c r="FD139" s="546">
        <f t="shared" si="180"/>
        <v>220000</v>
      </c>
      <c r="FE139" s="546">
        <f t="shared" si="181"/>
        <v>0</v>
      </c>
      <c r="FF139" s="546">
        <f t="shared" si="182"/>
        <v>0</v>
      </c>
      <c r="FG139" s="546">
        <f t="shared" si="183"/>
        <v>220000</v>
      </c>
      <c r="FN139" s="549" t="s">
        <v>579</v>
      </c>
      <c r="FO139" s="550">
        <v>108758000</v>
      </c>
      <c r="FP139" s="550">
        <v>108758000</v>
      </c>
      <c r="FQ139" s="550">
        <v>108758000</v>
      </c>
      <c r="FR139" s="550">
        <f t="shared" si="184"/>
        <v>108758</v>
      </c>
      <c r="FS139" s="550">
        <f t="shared" si="185"/>
        <v>108758</v>
      </c>
      <c r="FT139" s="550">
        <f t="shared" si="186"/>
        <v>108758</v>
      </c>
    </row>
    <row r="140" spans="1:176" ht="15" customHeight="1" x14ac:dyDescent="0.25">
      <c r="A140" s="890" t="s">
        <v>431</v>
      </c>
      <c r="B140" s="544" t="s">
        <v>883</v>
      </c>
      <c r="C140" s="545">
        <v>192052970000</v>
      </c>
      <c r="D140" s="545">
        <v>0</v>
      </c>
      <c r="E140" s="545">
        <v>0</v>
      </c>
      <c r="F140" s="545">
        <v>0</v>
      </c>
      <c r="G140" s="545">
        <v>0</v>
      </c>
      <c r="H140" s="546">
        <f t="shared" si="187"/>
        <v>0</v>
      </c>
      <c r="I140" s="546">
        <f t="shared" si="188"/>
        <v>0</v>
      </c>
      <c r="J140" s="546">
        <f t="shared" si="189"/>
        <v>0</v>
      </c>
      <c r="K140" s="546">
        <f t="shared" si="190"/>
        <v>0</v>
      </c>
      <c r="L140" s="546"/>
      <c r="S140" s="544" t="s">
        <v>882</v>
      </c>
      <c r="T140" s="545">
        <v>192052970000</v>
      </c>
      <c r="U140" s="545">
        <v>210102000</v>
      </c>
      <c r="V140" s="545">
        <v>1080957000</v>
      </c>
      <c r="W140" s="545">
        <v>190972013000</v>
      </c>
      <c r="X140" s="546">
        <f t="shared" si="148"/>
        <v>200119194.74000001</v>
      </c>
      <c r="Y140" s="546">
        <f t="shared" si="149"/>
        <v>218926.28400000001</v>
      </c>
      <c r="Z140" s="546">
        <f t="shared" si="150"/>
        <v>1126357.1940000001</v>
      </c>
      <c r="AA140" s="546">
        <f t="shared" si="151"/>
        <v>198992837.546</v>
      </c>
      <c r="AG140" s="544" t="s">
        <v>858</v>
      </c>
      <c r="AH140" s="545">
        <v>78000</v>
      </c>
      <c r="AI140" s="545">
        <v>0</v>
      </c>
      <c r="AJ140" s="545">
        <v>0</v>
      </c>
      <c r="AK140" s="545">
        <v>78000</v>
      </c>
      <c r="AL140" s="545">
        <f t="shared" si="152"/>
        <v>78</v>
      </c>
      <c r="AM140" s="545">
        <f t="shared" si="153"/>
        <v>0</v>
      </c>
      <c r="AN140" s="545">
        <f t="shared" si="154"/>
        <v>0</v>
      </c>
      <c r="AO140" s="545">
        <f t="shared" si="155"/>
        <v>78</v>
      </c>
      <c r="AV140" s="544" t="s">
        <v>857</v>
      </c>
      <c r="AW140" s="545">
        <v>100000</v>
      </c>
      <c r="AX140" s="545">
        <v>0</v>
      </c>
      <c r="AY140" s="545">
        <v>0</v>
      </c>
      <c r="AZ140" s="545">
        <v>100000</v>
      </c>
      <c r="BA140" s="546">
        <f t="shared" si="156"/>
        <v>100</v>
      </c>
      <c r="BB140" s="546">
        <f t="shared" si="157"/>
        <v>0</v>
      </c>
      <c r="BC140" s="546">
        <f t="shared" si="158"/>
        <v>0</v>
      </c>
      <c r="BD140" s="546">
        <f t="shared" si="159"/>
        <v>100</v>
      </c>
      <c r="BK140" s="544" t="s">
        <v>852</v>
      </c>
      <c r="BL140" s="545">
        <v>71000000</v>
      </c>
      <c r="BM140" s="545">
        <v>212985743</v>
      </c>
      <c r="BN140" s="545">
        <v>212985743</v>
      </c>
      <c r="BO140" s="545">
        <v>-141985743</v>
      </c>
      <c r="BP140" s="545">
        <f t="shared" si="160"/>
        <v>71000</v>
      </c>
      <c r="BQ140" s="545">
        <f t="shared" si="161"/>
        <v>212985.74299999999</v>
      </c>
      <c r="BR140" s="545">
        <f t="shared" si="162"/>
        <v>212985.74299999999</v>
      </c>
      <c r="BS140" s="545">
        <f t="shared" si="163"/>
        <v>-141985.74299999999</v>
      </c>
      <c r="BZ140" s="544" t="s">
        <v>852</v>
      </c>
      <c r="CA140" s="545">
        <v>71000000</v>
      </c>
      <c r="CB140" s="545">
        <v>240948039</v>
      </c>
      <c r="CC140" s="545">
        <v>240948039</v>
      </c>
      <c r="CD140" s="545">
        <v>-169948039</v>
      </c>
      <c r="CE140" s="545">
        <f t="shared" si="164"/>
        <v>71000</v>
      </c>
      <c r="CF140" s="545">
        <f t="shared" si="165"/>
        <v>240948.03899999999</v>
      </c>
      <c r="CG140" s="545">
        <f t="shared" si="166"/>
        <v>240948.03899999999</v>
      </c>
      <c r="CH140" s="545">
        <f t="shared" si="167"/>
        <v>-169948.03899999999</v>
      </c>
      <c r="CP140" s="547" t="s">
        <v>857</v>
      </c>
      <c r="CQ140" s="546">
        <v>100000</v>
      </c>
      <c r="CR140" s="546">
        <v>0</v>
      </c>
      <c r="CS140" s="546">
        <v>0</v>
      </c>
      <c r="CT140" s="546">
        <v>100000</v>
      </c>
      <c r="CU140" s="546">
        <f t="shared" si="140"/>
        <v>100</v>
      </c>
      <c r="CV140" s="546">
        <f t="shared" si="141"/>
        <v>0</v>
      </c>
      <c r="CW140" s="546">
        <f t="shared" si="142"/>
        <v>0</v>
      </c>
      <c r="CX140" s="546">
        <f t="shared" si="143"/>
        <v>100</v>
      </c>
      <c r="DE140" s="544" t="s">
        <v>852</v>
      </c>
      <c r="DF140" s="545">
        <v>71000000</v>
      </c>
      <c r="DG140" s="545">
        <v>319483919</v>
      </c>
      <c r="DH140" s="545">
        <v>319483919</v>
      </c>
      <c r="DI140" s="545">
        <v>-248483919</v>
      </c>
      <c r="DJ140" s="546">
        <f t="shared" si="168"/>
        <v>71000</v>
      </c>
      <c r="DK140" s="546">
        <f t="shared" si="169"/>
        <v>319483.91899999999</v>
      </c>
      <c r="DL140" s="546">
        <f t="shared" si="170"/>
        <v>319483.91899999999</v>
      </c>
      <c r="DM140" s="546">
        <f t="shared" si="171"/>
        <v>-248483.91899999999</v>
      </c>
      <c r="DT140" s="544" t="s">
        <v>598</v>
      </c>
      <c r="DU140" s="545">
        <v>171178000</v>
      </c>
      <c r="DV140" s="545">
        <v>376229488</v>
      </c>
      <c r="DW140" s="545">
        <v>376326552</v>
      </c>
      <c r="DX140" s="545">
        <v>-205148552</v>
      </c>
      <c r="DY140" s="546">
        <f t="shared" si="172"/>
        <v>171178</v>
      </c>
      <c r="DZ140" s="546">
        <f t="shared" si="173"/>
        <v>376229.48800000001</v>
      </c>
      <c r="EA140" s="546">
        <f t="shared" si="174"/>
        <v>376326.55200000003</v>
      </c>
      <c r="EB140" s="546">
        <f t="shared" si="175"/>
        <v>-205148.552</v>
      </c>
      <c r="EI140" s="547" t="s">
        <v>915</v>
      </c>
      <c r="EJ140" s="546">
        <v>260000000</v>
      </c>
      <c r="EK140" s="546">
        <v>260000000</v>
      </c>
      <c r="EL140" s="546">
        <v>260000000</v>
      </c>
      <c r="EM140" s="548">
        <f t="shared" si="176"/>
        <v>260000</v>
      </c>
      <c r="EN140" s="548">
        <f t="shared" si="177"/>
        <v>260000</v>
      </c>
      <c r="EO140" s="548">
        <f t="shared" si="178"/>
        <v>260000</v>
      </c>
      <c r="EW140" s="544" t="s">
        <v>597</v>
      </c>
      <c r="EX140" s="545">
        <v>171178000</v>
      </c>
      <c r="EY140" s="545">
        <v>171178000</v>
      </c>
      <c r="EZ140" s="545">
        <v>488060017</v>
      </c>
      <c r="FA140" s="545">
        <v>488157081</v>
      </c>
      <c r="FB140" s="545">
        <v>-316979081</v>
      </c>
      <c r="FC140" s="546">
        <f t="shared" si="179"/>
        <v>171178</v>
      </c>
      <c r="FD140" s="546">
        <f t="shared" si="180"/>
        <v>171178</v>
      </c>
      <c r="FE140" s="546">
        <f t="shared" si="181"/>
        <v>488060.01699999999</v>
      </c>
      <c r="FF140" s="546">
        <f t="shared" si="182"/>
        <v>488157.08100000001</v>
      </c>
      <c r="FG140" s="546">
        <f t="shared" si="183"/>
        <v>-316979.08100000001</v>
      </c>
      <c r="FN140" s="549" t="s">
        <v>915</v>
      </c>
      <c r="FO140" s="550">
        <v>260000000</v>
      </c>
      <c r="FP140" s="550">
        <v>260000000</v>
      </c>
      <c r="FQ140" s="550">
        <v>260000000</v>
      </c>
      <c r="FR140" s="550">
        <f t="shared" si="184"/>
        <v>260000</v>
      </c>
      <c r="FS140" s="550">
        <f t="shared" si="185"/>
        <v>260000</v>
      </c>
      <c r="FT140" s="550">
        <f t="shared" si="186"/>
        <v>260000</v>
      </c>
    </row>
    <row r="141" spans="1:176" ht="15" customHeight="1" x14ac:dyDescent="0.25">
      <c r="A141" s="890" t="s">
        <v>888</v>
      </c>
      <c r="B141" s="544" t="s">
        <v>402</v>
      </c>
      <c r="C141" s="545">
        <v>15249044100</v>
      </c>
      <c r="D141" s="545">
        <v>15249044100</v>
      </c>
      <c r="E141" s="545">
        <v>2063242961</v>
      </c>
      <c r="F141" s="545">
        <v>13185801139</v>
      </c>
      <c r="G141" s="545">
        <v>2063242961</v>
      </c>
      <c r="H141" s="546">
        <f t="shared" si="187"/>
        <v>15889503.952200001</v>
      </c>
      <c r="I141" s="546">
        <f t="shared" si="188"/>
        <v>2149899.165362</v>
      </c>
      <c r="J141" s="546">
        <f t="shared" si="189"/>
        <v>13739604.786838001</v>
      </c>
      <c r="K141" s="546">
        <f t="shared" si="190"/>
        <v>2149899.165362</v>
      </c>
      <c r="L141" s="546"/>
      <c r="S141" s="544" t="s">
        <v>883</v>
      </c>
      <c r="T141" s="545">
        <v>192052970000</v>
      </c>
      <c r="U141" s="545">
        <v>210102000</v>
      </c>
      <c r="V141" s="545">
        <v>1080957000</v>
      </c>
      <c r="W141" s="545">
        <v>190972013000</v>
      </c>
      <c r="X141" s="546">
        <f t="shared" si="148"/>
        <v>200119194.74000001</v>
      </c>
      <c r="Y141" s="546">
        <f t="shared" si="149"/>
        <v>218926.28400000001</v>
      </c>
      <c r="Z141" s="546">
        <f t="shared" si="150"/>
        <v>1126357.1940000001</v>
      </c>
      <c r="AA141" s="546">
        <f t="shared" si="151"/>
        <v>198992837.546</v>
      </c>
      <c r="AG141" s="544" t="s">
        <v>859</v>
      </c>
      <c r="AH141" s="545">
        <v>100000000</v>
      </c>
      <c r="AI141" s="545">
        <v>0</v>
      </c>
      <c r="AJ141" s="545">
        <v>97064</v>
      </c>
      <c r="AK141" s="545">
        <v>99902936</v>
      </c>
      <c r="AL141" s="545">
        <f t="shared" si="152"/>
        <v>100000</v>
      </c>
      <c r="AM141" s="545">
        <f t="shared" si="153"/>
        <v>0</v>
      </c>
      <c r="AN141" s="545">
        <f t="shared" si="154"/>
        <v>97.063999999999993</v>
      </c>
      <c r="AO141" s="545">
        <f t="shared" si="155"/>
        <v>99902.936000000002</v>
      </c>
      <c r="AV141" s="544" t="s">
        <v>858</v>
      </c>
      <c r="AW141" s="545">
        <v>78000</v>
      </c>
      <c r="AX141" s="545">
        <v>0</v>
      </c>
      <c r="AY141" s="545">
        <v>0</v>
      </c>
      <c r="AZ141" s="545">
        <v>78000</v>
      </c>
      <c r="BA141" s="546">
        <f t="shared" si="156"/>
        <v>78</v>
      </c>
      <c r="BB141" s="546">
        <f t="shared" si="157"/>
        <v>0</v>
      </c>
      <c r="BC141" s="546">
        <f t="shared" si="158"/>
        <v>0</v>
      </c>
      <c r="BD141" s="546">
        <f t="shared" si="159"/>
        <v>78</v>
      </c>
      <c r="BK141" s="544" t="s">
        <v>857</v>
      </c>
      <c r="BL141" s="545">
        <v>100000</v>
      </c>
      <c r="BM141" s="545">
        <v>0</v>
      </c>
      <c r="BN141" s="545">
        <v>0</v>
      </c>
      <c r="BO141" s="545">
        <v>100000</v>
      </c>
      <c r="BP141" s="545">
        <f t="shared" si="160"/>
        <v>100</v>
      </c>
      <c r="BQ141" s="545">
        <f t="shared" si="161"/>
        <v>0</v>
      </c>
      <c r="BR141" s="545">
        <f t="shared" si="162"/>
        <v>0</v>
      </c>
      <c r="BS141" s="545">
        <f t="shared" si="163"/>
        <v>100</v>
      </c>
      <c r="BZ141" s="544" t="s">
        <v>857</v>
      </c>
      <c r="CA141" s="545">
        <v>100000</v>
      </c>
      <c r="CB141" s="545">
        <v>0</v>
      </c>
      <c r="CC141" s="545">
        <v>0</v>
      </c>
      <c r="CD141" s="545">
        <v>100000</v>
      </c>
      <c r="CE141" s="545">
        <f t="shared" si="164"/>
        <v>100</v>
      </c>
      <c r="CF141" s="545">
        <f t="shared" si="165"/>
        <v>0</v>
      </c>
      <c r="CG141" s="545">
        <f t="shared" si="166"/>
        <v>0</v>
      </c>
      <c r="CH141" s="545">
        <f t="shared" si="167"/>
        <v>100</v>
      </c>
      <c r="CP141" s="547" t="s">
        <v>858</v>
      </c>
      <c r="CQ141" s="546">
        <v>78000</v>
      </c>
      <c r="CR141" s="546">
        <v>0</v>
      </c>
      <c r="CS141" s="546">
        <v>0</v>
      </c>
      <c r="CT141" s="546">
        <v>78000</v>
      </c>
      <c r="CU141" s="546">
        <f t="shared" si="140"/>
        <v>78</v>
      </c>
      <c r="CV141" s="546">
        <f t="shared" si="141"/>
        <v>0</v>
      </c>
      <c r="CW141" s="546">
        <f t="shared" si="142"/>
        <v>0</v>
      </c>
      <c r="CX141" s="546">
        <f t="shared" si="143"/>
        <v>78</v>
      </c>
      <c r="DE141" s="544" t="s">
        <v>857</v>
      </c>
      <c r="DF141" s="545">
        <v>100000</v>
      </c>
      <c r="DG141" s="545">
        <v>0</v>
      </c>
      <c r="DH141" s="545">
        <v>0</v>
      </c>
      <c r="DI141" s="545">
        <v>100000</v>
      </c>
      <c r="DJ141" s="546">
        <f t="shared" si="168"/>
        <v>100</v>
      </c>
      <c r="DK141" s="546">
        <f t="shared" si="169"/>
        <v>0</v>
      </c>
      <c r="DL141" s="546">
        <f t="shared" si="170"/>
        <v>0</v>
      </c>
      <c r="DM141" s="546">
        <f t="shared" si="171"/>
        <v>100</v>
      </c>
      <c r="DT141" s="544" t="s">
        <v>852</v>
      </c>
      <c r="DU141" s="545">
        <v>71000000</v>
      </c>
      <c r="DV141" s="545">
        <v>376229488</v>
      </c>
      <c r="DW141" s="545">
        <v>376229488</v>
      </c>
      <c r="DX141" s="545">
        <v>-305229488</v>
      </c>
      <c r="DY141" s="546">
        <f t="shared" si="172"/>
        <v>71000</v>
      </c>
      <c r="DZ141" s="546">
        <f t="shared" si="173"/>
        <v>376229.48800000001</v>
      </c>
      <c r="EA141" s="546">
        <f t="shared" si="174"/>
        <v>376229.48800000001</v>
      </c>
      <c r="EB141" s="546">
        <f t="shared" si="175"/>
        <v>-305229.48800000001</v>
      </c>
      <c r="EI141" s="547" t="s">
        <v>967</v>
      </c>
      <c r="EJ141" s="546">
        <v>220000000</v>
      </c>
      <c r="EK141" s="546">
        <v>0</v>
      </c>
      <c r="EL141" s="546">
        <v>0</v>
      </c>
      <c r="EM141" s="548">
        <f t="shared" si="176"/>
        <v>220000</v>
      </c>
      <c r="EN141" s="548">
        <f t="shared" si="177"/>
        <v>0</v>
      </c>
      <c r="EO141" s="548">
        <f t="shared" si="178"/>
        <v>0</v>
      </c>
      <c r="EW141" s="544" t="s">
        <v>598</v>
      </c>
      <c r="EX141" s="545">
        <v>171178000</v>
      </c>
      <c r="EY141" s="545">
        <v>171178000</v>
      </c>
      <c r="EZ141" s="545">
        <v>488060017</v>
      </c>
      <c r="FA141" s="545">
        <v>488157081</v>
      </c>
      <c r="FB141" s="545">
        <v>-316979081</v>
      </c>
      <c r="FC141" s="546">
        <f t="shared" si="179"/>
        <v>171178</v>
      </c>
      <c r="FD141" s="546">
        <f t="shared" si="180"/>
        <v>171178</v>
      </c>
      <c r="FE141" s="546">
        <f t="shared" si="181"/>
        <v>488060.01699999999</v>
      </c>
      <c r="FF141" s="546">
        <f t="shared" si="182"/>
        <v>488157.08100000001</v>
      </c>
      <c r="FG141" s="546">
        <f t="shared" si="183"/>
        <v>-316979.08100000001</v>
      </c>
      <c r="FN141" s="549" t="s">
        <v>967</v>
      </c>
      <c r="FO141" s="550">
        <v>220000000</v>
      </c>
      <c r="FP141" s="550">
        <v>210600000</v>
      </c>
      <c r="FQ141" s="550">
        <v>210600000</v>
      </c>
      <c r="FR141" s="550">
        <f t="shared" si="184"/>
        <v>220000</v>
      </c>
      <c r="FS141" s="550">
        <f t="shared" si="185"/>
        <v>210600</v>
      </c>
      <c r="FT141" s="550">
        <f t="shared" si="186"/>
        <v>210600</v>
      </c>
    </row>
    <row r="142" spans="1:176" ht="15" customHeight="1" x14ac:dyDescent="0.25">
      <c r="A142" s="890" t="s">
        <v>889</v>
      </c>
      <c r="B142" s="544" t="s">
        <v>403</v>
      </c>
      <c r="C142" s="545">
        <v>12687731000</v>
      </c>
      <c r="D142" s="545">
        <v>12687731000</v>
      </c>
      <c r="E142" s="545">
        <v>0</v>
      </c>
      <c r="F142" s="545">
        <v>12687731000</v>
      </c>
      <c r="G142" s="545">
        <v>0</v>
      </c>
      <c r="H142" s="546">
        <f t="shared" si="187"/>
        <v>13220615.702</v>
      </c>
      <c r="I142" s="546">
        <f t="shared" si="188"/>
        <v>0</v>
      </c>
      <c r="J142" s="546">
        <f t="shared" si="189"/>
        <v>13220615.702</v>
      </c>
      <c r="K142" s="546">
        <f t="shared" si="190"/>
        <v>0</v>
      </c>
      <c r="L142" s="546"/>
      <c r="S142" s="544" t="s">
        <v>402</v>
      </c>
      <c r="T142" s="545">
        <v>15249044100</v>
      </c>
      <c r="U142" s="545">
        <v>2063242961</v>
      </c>
      <c r="V142" s="545">
        <v>2063242961</v>
      </c>
      <c r="W142" s="545">
        <v>13185801139</v>
      </c>
      <c r="X142" s="546">
        <f t="shared" si="148"/>
        <v>15889503.952200001</v>
      </c>
      <c r="Y142" s="546">
        <f t="shared" si="149"/>
        <v>2149899.165362</v>
      </c>
      <c r="Z142" s="546">
        <f t="shared" si="150"/>
        <v>2149899.165362</v>
      </c>
      <c r="AA142" s="546">
        <f t="shared" si="151"/>
        <v>13739604.786838001</v>
      </c>
      <c r="AG142" s="544" t="s">
        <v>580</v>
      </c>
      <c r="AH142" s="545">
        <v>262003000</v>
      </c>
      <c r="AI142" s="545">
        <v>34710474</v>
      </c>
      <c r="AJ142" s="545">
        <v>43399024</v>
      </c>
      <c r="AK142" s="545">
        <v>218603976</v>
      </c>
      <c r="AL142" s="545">
        <f t="shared" ref="AL142:AL156" si="191">+AH142/$AN$1*$AO$1</f>
        <v>262003</v>
      </c>
      <c r="AM142" s="545">
        <f t="shared" ref="AM142:AM156" si="192">+AI142/$AN$1*$AO$1</f>
        <v>34710.474000000002</v>
      </c>
      <c r="AN142" s="545">
        <f t="shared" ref="AN142:AN156" si="193">+AJ142/$AN$1*$AO$1</f>
        <v>43399.023999999998</v>
      </c>
      <c r="AO142" s="545">
        <f t="shared" ref="AO142:AO156" si="194">+AK142/$AN$1*$AO$1</f>
        <v>218603.976</v>
      </c>
      <c r="AV142" s="544" t="s">
        <v>859</v>
      </c>
      <c r="AW142" s="545">
        <v>100000000</v>
      </c>
      <c r="AX142" s="545">
        <v>0</v>
      </c>
      <c r="AY142" s="545">
        <v>97064</v>
      </c>
      <c r="AZ142" s="545">
        <v>99902936</v>
      </c>
      <c r="BA142" s="546">
        <f t="shared" si="156"/>
        <v>100000</v>
      </c>
      <c r="BB142" s="546">
        <f t="shared" si="157"/>
        <v>0</v>
      </c>
      <c r="BC142" s="546">
        <f t="shared" si="158"/>
        <v>97.063999999999993</v>
      </c>
      <c r="BD142" s="546">
        <f t="shared" si="159"/>
        <v>99902.936000000002</v>
      </c>
      <c r="BK142" s="544" t="s">
        <v>858</v>
      </c>
      <c r="BL142" s="545">
        <v>78000</v>
      </c>
      <c r="BM142" s="545">
        <v>0</v>
      </c>
      <c r="BN142" s="545">
        <v>0</v>
      </c>
      <c r="BO142" s="545">
        <v>78000</v>
      </c>
      <c r="BP142" s="545">
        <f t="shared" si="160"/>
        <v>78</v>
      </c>
      <c r="BQ142" s="545">
        <f t="shared" si="161"/>
        <v>0</v>
      </c>
      <c r="BR142" s="545">
        <f t="shared" si="162"/>
        <v>0</v>
      </c>
      <c r="BS142" s="545">
        <f t="shared" si="163"/>
        <v>78</v>
      </c>
      <c r="BZ142" s="544" t="s">
        <v>858</v>
      </c>
      <c r="CA142" s="545">
        <v>78000</v>
      </c>
      <c r="CB142" s="545">
        <v>0</v>
      </c>
      <c r="CC142" s="545">
        <v>0</v>
      </c>
      <c r="CD142" s="545">
        <v>78000</v>
      </c>
      <c r="CE142" s="545">
        <f t="shared" si="164"/>
        <v>78</v>
      </c>
      <c r="CF142" s="545">
        <f t="shared" si="165"/>
        <v>0</v>
      </c>
      <c r="CG142" s="545">
        <f t="shared" si="166"/>
        <v>0</v>
      </c>
      <c r="CH142" s="545">
        <f t="shared" si="167"/>
        <v>78</v>
      </c>
      <c r="CP142" s="547" t="s">
        <v>859</v>
      </c>
      <c r="CQ142" s="546">
        <v>100000000</v>
      </c>
      <c r="CR142" s="546">
        <v>0</v>
      </c>
      <c r="CS142" s="546">
        <v>97064</v>
      </c>
      <c r="CT142" s="546">
        <v>99902936</v>
      </c>
      <c r="CU142" s="546">
        <f t="shared" si="140"/>
        <v>100000</v>
      </c>
      <c r="CV142" s="546">
        <f t="shared" si="141"/>
        <v>0</v>
      </c>
      <c r="CW142" s="546">
        <f t="shared" si="142"/>
        <v>97.063999999999993</v>
      </c>
      <c r="CX142" s="546">
        <f t="shared" si="143"/>
        <v>99902.936000000002</v>
      </c>
      <c r="DE142" s="544" t="s">
        <v>858</v>
      </c>
      <c r="DF142" s="545">
        <v>78000</v>
      </c>
      <c r="DG142" s="545">
        <v>0</v>
      </c>
      <c r="DH142" s="545">
        <v>0</v>
      </c>
      <c r="DI142" s="545">
        <v>78000</v>
      </c>
      <c r="DJ142" s="546">
        <f t="shared" si="168"/>
        <v>78</v>
      </c>
      <c r="DK142" s="546">
        <f t="shared" si="169"/>
        <v>0</v>
      </c>
      <c r="DL142" s="546">
        <f t="shared" si="170"/>
        <v>0</v>
      </c>
      <c r="DM142" s="546">
        <f t="shared" si="171"/>
        <v>78</v>
      </c>
      <c r="DT142" s="544" t="s">
        <v>857</v>
      </c>
      <c r="DU142" s="545">
        <v>100000</v>
      </c>
      <c r="DV142" s="545">
        <v>0</v>
      </c>
      <c r="DW142" s="545">
        <v>0</v>
      </c>
      <c r="DX142" s="545">
        <v>100000</v>
      </c>
      <c r="DY142" s="546">
        <f t="shared" si="172"/>
        <v>100</v>
      </c>
      <c r="DZ142" s="546">
        <f t="shared" si="173"/>
        <v>0</v>
      </c>
      <c r="EA142" s="546">
        <f t="shared" si="174"/>
        <v>0</v>
      </c>
      <c r="EB142" s="546">
        <f t="shared" si="175"/>
        <v>100</v>
      </c>
      <c r="EI142" s="547" t="s">
        <v>597</v>
      </c>
      <c r="EJ142" s="546">
        <v>171178000</v>
      </c>
      <c r="EK142" s="546">
        <v>417820728</v>
      </c>
      <c r="EL142" s="546">
        <v>417723664</v>
      </c>
      <c r="EM142" s="548">
        <f t="shared" si="176"/>
        <v>171178</v>
      </c>
      <c r="EN142" s="548">
        <f t="shared" si="177"/>
        <v>417820.728</v>
      </c>
      <c r="EO142" s="548">
        <f t="shared" si="178"/>
        <v>417723.66399999999</v>
      </c>
      <c r="EW142" s="544" t="s">
        <v>852</v>
      </c>
      <c r="EX142" s="545">
        <v>0</v>
      </c>
      <c r="EY142" s="545">
        <v>71000000</v>
      </c>
      <c r="EZ142" s="545">
        <v>452614992</v>
      </c>
      <c r="FA142" s="545">
        <v>452614992</v>
      </c>
      <c r="FB142" s="545">
        <v>-381614992</v>
      </c>
      <c r="FC142" s="546">
        <f t="shared" si="179"/>
        <v>0</v>
      </c>
      <c r="FD142" s="546">
        <f t="shared" si="180"/>
        <v>71000</v>
      </c>
      <c r="FE142" s="546">
        <f t="shared" si="181"/>
        <v>452614.99200000003</v>
      </c>
      <c r="FF142" s="546">
        <f t="shared" si="182"/>
        <v>452614.99200000003</v>
      </c>
      <c r="FG142" s="546">
        <f t="shared" si="183"/>
        <v>-381614.99200000003</v>
      </c>
      <c r="FN142" s="549" t="s">
        <v>597</v>
      </c>
      <c r="FO142" s="550">
        <v>171178000</v>
      </c>
      <c r="FP142" s="550">
        <v>521417696</v>
      </c>
      <c r="FQ142" s="550">
        <v>521417696</v>
      </c>
      <c r="FR142" s="550">
        <f t="shared" si="184"/>
        <v>171178</v>
      </c>
      <c r="FS142" s="550">
        <f t="shared" si="185"/>
        <v>521417.696</v>
      </c>
      <c r="FT142" s="550">
        <f t="shared" si="186"/>
        <v>521417.696</v>
      </c>
    </row>
    <row r="143" spans="1:176" ht="15" customHeight="1" x14ac:dyDescent="0.25">
      <c r="A143" s="890" t="s">
        <v>431</v>
      </c>
      <c r="B143" s="544" t="s">
        <v>405</v>
      </c>
      <c r="C143" s="545">
        <v>2561303000</v>
      </c>
      <c r="D143" s="545">
        <v>2561303000</v>
      </c>
      <c r="E143" s="545">
        <v>977650647</v>
      </c>
      <c r="F143" s="545">
        <v>1583652353</v>
      </c>
      <c r="G143" s="545">
        <v>977650647</v>
      </c>
      <c r="H143" s="546">
        <f t="shared" ref="H143:K144" si="195">+D143/$I$1*$J$1</f>
        <v>2668877.7260000003</v>
      </c>
      <c r="I143" s="546">
        <f t="shared" si="195"/>
        <v>1018711.9741740001</v>
      </c>
      <c r="J143" s="546">
        <f t="shared" si="195"/>
        <v>1650165.7518259999</v>
      </c>
      <c r="K143" s="546">
        <f t="shared" si="195"/>
        <v>1018711.9741740001</v>
      </c>
      <c r="S143" s="544" t="s">
        <v>403</v>
      </c>
      <c r="T143" s="545">
        <v>12687731000</v>
      </c>
      <c r="U143" s="545">
        <v>0</v>
      </c>
      <c r="V143" s="545">
        <v>0</v>
      </c>
      <c r="W143" s="545">
        <v>12687731000</v>
      </c>
      <c r="X143" s="546">
        <f t="shared" si="148"/>
        <v>13220615.702</v>
      </c>
      <c r="Y143" s="546">
        <f t="shared" si="149"/>
        <v>0</v>
      </c>
      <c r="Z143" s="546">
        <f t="shared" si="150"/>
        <v>0</v>
      </c>
      <c r="AA143" s="546">
        <f t="shared" si="151"/>
        <v>13220615.702</v>
      </c>
      <c r="AG143" s="544" t="s">
        <v>774</v>
      </c>
      <c r="AH143" s="545">
        <v>33120000</v>
      </c>
      <c r="AI143" s="545">
        <v>22456599</v>
      </c>
      <c r="AJ143" s="545">
        <v>22456599</v>
      </c>
      <c r="AK143" s="545">
        <v>10663401</v>
      </c>
      <c r="AL143" s="545">
        <f t="shared" si="191"/>
        <v>33120</v>
      </c>
      <c r="AM143" s="545">
        <f t="shared" si="192"/>
        <v>22456.598999999998</v>
      </c>
      <c r="AN143" s="545">
        <f t="shared" si="193"/>
        <v>22456.598999999998</v>
      </c>
      <c r="AO143" s="545">
        <f t="shared" si="194"/>
        <v>10663.401</v>
      </c>
      <c r="AV143" s="544" t="s">
        <v>829</v>
      </c>
      <c r="AW143" s="545">
        <v>0</v>
      </c>
      <c r="AX143" s="545">
        <v>0</v>
      </c>
      <c r="AY143" s="545">
        <v>0</v>
      </c>
      <c r="AZ143" s="545">
        <v>0</v>
      </c>
      <c r="BA143" s="546">
        <f t="shared" si="156"/>
        <v>0</v>
      </c>
      <c r="BB143" s="546">
        <f t="shared" si="157"/>
        <v>0</v>
      </c>
      <c r="BC143" s="546">
        <f t="shared" si="158"/>
        <v>0</v>
      </c>
      <c r="BD143" s="546">
        <f t="shared" si="159"/>
        <v>0</v>
      </c>
      <c r="BK143" s="544" t="s">
        <v>859</v>
      </c>
      <c r="BL143" s="545">
        <v>100000000</v>
      </c>
      <c r="BM143" s="545">
        <v>0</v>
      </c>
      <c r="BN143" s="545">
        <v>97064</v>
      </c>
      <c r="BO143" s="545">
        <v>99902936</v>
      </c>
      <c r="BP143" s="545">
        <f t="shared" si="160"/>
        <v>100000</v>
      </c>
      <c r="BQ143" s="545">
        <f t="shared" si="161"/>
        <v>0</v>
      </c>
      <c r="BR143" s="545">
        <f t="shared" si="162"/>
        <v>97.063999999999993</v>
      </c>
      <c r="BS143" s="545">
        <f t="shared" si="163"/>
        <v>99902.936000000002</v>
      </c>
      <c r="BZ143" s="544" t="s">
        <v>859</v>
      </c>
      <c r="CA143" s="545">
        <v>100000000</v>
      </c>
      <c r="CB143" s="545">
        <v>0</v>
      </c>
      <c r="CC143" s="545">
        <v>97064</v>
      </c>
      <c r="CD143" s="545">
        <v>99902936</v>
      </c>
      <c r="CE143" s="545">
        <f t="shared" ref="CE143:CE162" si="196">+CA143/$CG$1*$CH$1</f>
        <v>100000</v>
      </c>
      <c r="CF143" s="545">
        <f t="shared" si="165"/>
        <v>0</v>
      </c>
      <c r="CG143" s="545">
        <f t="shared" si="166"/>
        <v>97.063999999999993</v>
      </c>
      <c r="CH143" s="545">
        <f t="shared" si="167"/>
        <v>99902.936000000002</v>
      </c>
      <c r="CP143" s="547" t="s">
        <v>580</v>
      </c>
      <c r="CQ143" s="546">
        <v>306345000</v>
      </c>
      <c r="CR143" s="546">
        <v>48213749</v>
      </c>
      <c r="CS143" s="546">
        <v>115018169</v>
      </c>
      <c r="CT143" s="546">
        <v>191326831</v>
      </c>
      <c r="CU143" s="546">
        <f t="shared" si="140"/>
        <v>306345</v>
      </c>
      <c r="CV143" s="546">
        <f t="shared" si="141"/>
        <v>48213.749000000003</v>
      </c>
      <c r="CW143" s="546">
        <f t="shared" si="142"/>
        <v>115018.16899999999</v>
      </c>
      <c r="CX143" s="546">
        <f t="shared" si="143"/>
        <v>191326.83100000001</v>
      </c>
      <c r="DE143" s="544" t="s">
        <v>859</v>
      </c>
      <c r="DF143" s="545">
        <v>100000000</v>
      </c>
      <c r="DG143" s="545">
        <v>0</v>
      </c>
      <c r="DH143" s="545">
        <v>97064</v>
      </c>
      <c r="DI143" s="545">
        <v>99902936</v>
      </c>
      <c r="DJ143" s="546">
        <f t="shared" si="168"/>
        <v>100000</v>
      </c>
      <c r="DK143" s="546">
        <f t="shared" si="169"/>
        <v>0</v>
      </c>
      <c r="DL143" s="546">
        <f t="shared" si="170"/>
        <v>97.063999999999993</v>
      </c>
      <c r="DM143" s="546">
        <f t="shared" si="171"/>
        <v>99902.936000000002</v>
      </c>
      <c r="DT143" s="544" t="s">
        <v>858</v>
      </c>
      <c r="DU143" s="545">
        <v>78000</v>
      </c>
      <c r="DV143" s="545">
        <v>0</v>
      </c>
      <c r="DW143" s="545">
        <v>0</v>
      </c>
      <c r="DX143" s="545">
        <v>78000</v>
      </c>
      <c r="DY143" s="546">
        <f t="shared" si="172"/>
        <v>78</v>
      </c>
      <c r="DZ143" s="546">
        <f t="shared" si="173"/>
        <v>0</v>
      </c>
      <c r="EA143" s="546">
        <f t="shared" si="174"/>
        <v>0</v>
      </c>
      <c r="EB143" s="546">
        <f t="shared" si="175"/>
        <v>78</v>
      </c>
      <c r="EI143" s="547" t="s">
        <v>598</v>
      </c>
      <c r="EJ143" s="546">
        <v>171178000</v>
      </c>
      <c r="EK143" s="546">
        <v>417820728</v>
      </c>
      <c r="EL143" s="546">
        <v>417723664</v>
      </c>
      <c r="EM143" s="548">
        <f t="shared" si="176"/>
        <v>171178</v>
      </c>
      <c r="EN143" s="548">
        <f t="shared" si="177"/>
        <v>417820.728</v>
      </c>
      <c r="EO143" s="548">
        <f t="shared" si="178"/>
        <v>417723.66399999999</v>
      </c>
      <c r="EW143" s="544" t="s">
        <v>984</v>
      </c>
      <c r="EX143" s="545">
        <v>0</v>
      </c>
      <c r="EY143" s="545">
        <v>32805004</v>
      </c>
      <c r="EZ143" s="545">
        <v>32805004</v>
      </c>
      <c r="FA143" s="545">
        <v>32805004</v>
      </c>
      <c r="FB143" s="545">
        <v>0</v>
      </c>
      <c r="FC143" s="546">
        <f t="shared" si="179"/>
        <v>0</v>
      </c>
      <c r="FD143" s="546">
        <f t="shared" si="180"/>
        <v>32805.004000000001</v>
      </c>
      <c r="FE143" s="546">
        <f t="shared" si="181"/>
        <v>32805.004000000001</v>
      </c>
      <c r="FF143" s="546">
        <f t="shared" si="182"/>
        <v>32805.004000000001</v>
      </c>
      <c r="FG143" s="546">
        <f t="shared" si="183"/>
        <v>0</v>
      </c>
      <c r="FN143" s="549" t="s">
        <v>598</v>
      </c>
      <c r="FO143" s="550">
        <v>171178000</v>
      </c>
      <c r="FP143" s="550">
        <v>521417696</v>
      </c>
      <c r="FQ143" s="550">
        <v>521417696</v>
      </c>
      <c r="FR143" s="550">
        <f t="shared" si="184"/>
        <v>171178</v>
      </c>
      <c r="FS143" s="550">
        <f t="shared" si="185"/>
        <v>521417.696</v>
      </c>
      <c r="FT143" s="550">
        <f t="shared" si="186"/>
        <v>521417.696</v>
      </c>
    </row>
    <row r="144" spans="1:176" ht="15" customHeight="1" x14ac:dyDescent="0.25">
      <c r="A144" s="890" t="s">
        <v>888</v>
      </c>
      <c r="B144" s="544" t="s">
        <v>407</v>
      </c>
      <c r="C144" s="545">
        <v>10100</v>
      </c>
      <c r="D144" s="545">
        <v>10100</v>
      </c>
      <c r="E144" s="545">
        <v>1085592314</v>
      </c>
      <c r="F144" s="545">
        <v>-1085582214</v>
      </c>
      <c r="G144" s="545">
        <v>1085592314</v>
      </c>
      <c r="H144" s="546">
        <f t="shared" si="195"/>
        <v>10.5242</v>
      </c>
      <c r="I144" s="546">
        <f t="shared" si="195"/>
        <v>1131187.1911880001</v>
      </c>
      <c r="J144" s="546">
        <f t="shared" si="195"/>
        <v>-1131176.666988</v>
      </c>
      <c r="K144" s="546">
        <f t="shared" si="195"/>
        <v>1131187.1911880001</v>
      </c>
      <c r="S144" s="544" t="s">
        <v>405</v>
      </c>
      <c r="T144" s="545">
        <v>2561303000</v>
      </c>
      <c r="U144" s="545">
        <v>977650647</v>
      </c>
      <c r="V144" s="545">
        <v>977650647</v>
      </c>
      <c r="W144" s="545">
        <v>1583652353</v>
      </c>
      <c r="X144" s="546">
        <f t="shared" ref="X144:AA145" si="197">+T144/$Z$1*$AA$1</f>
        <v>2668877.7260000003</v>
      </c>
      <c r="Y144" s="546">
        <f t="shared" si="197"/>
        <v>1018711.9741740001</v>
      </c>
      <c r="Z144" s="546">
        <f t="shared" si="197"/>
        <v>1018711.9741740001</v>
      </c>
      <c r="AA144" s="546">
        <f t="shared" si="197"/>
        <v>1650165.7518259999</v>
      </c>
      <c r="AG144" s="544" t="s">
        <v>401</v>
      </c>
      <c r="AH144" s="545">
        <v>228883000</v>
      </c>
      <c r="AI144" s="545">
        <v>12253875</v>
      </c>
      <c r="AJ144" s="545">
        <v>20942425</v>
      </c>
      <c r="AK144" s="545">
        <v>207940575</v>
      </c>
      <c r="AL144" s="545">
        <f t="shared" si="191"/>
        <v>228883</v>
      </c>
      <c r="AM144" s="545">
        <f t="shared" si="192"/>
        <v>12253.875</v>
      </c>
      <c r="AN144" s="545">
        <f t="shared" si="193"/>
        <v>20942.424999999999</v>
      </c>
      <c r="AO144" s="545">
        <f t="shared" si="194"/>
        <v>207940.57500000001</v>
      </c>
      <c r="AV144" s="544" t="s">
        <v>830</v>
      </c>
      <c r="AW144" s="545">
        <v>0</v>
      </c>
      <c r="AX144" s="545">
        <v>0</v>
      </c>
      <c r="AY144" s="545">
        <v>0</v>
      </c>
      <c r="AZ144" s="545">
        <v>0</v>
      </c>
      <c r="BA144" s="546">
        <f t="shared" si="156"/>
        <v>0</v>
      </c>
      <c r="BB144" s="546">
        <f t="shared" si="157"/>
        <v>0</v>
      </c>
      <c r="BC144" s="546">
        <f t="shared" si="158"/>
        <v>0</v>
      </c>
      <c r="BD144" s="546">
        <f t="shared" si="159"/>
        <v>0</v>
      </c>
      <c r="BK144" s="544" t="s">
        <v>580</v>
      </c>
      <c r="BL144" s="545">
        <v>306345000</v>
      </c>
      <c r="BM144" s="545">
        <v>40906699</v>
      </c>
      <c r="BN144" s="545">
        <v>97802514</v>
      </c>
      <c r="BO144" s="545">
        <v>208542486</v>
      </c>
      <c r="BP144" s="545">
        <f t="shared" ref="BP144:BP162" si="198">+BL144/$BR$1*$BS$1</f>
        <v>306345</v>
      </c>
      <c r="BQ144" s="545">
        <f t="shared" ref="BQ144:BQ162" si="199">+BM144/$BR$1*$BS$1</f>
        <v>40906.699000000001</v>
      </c>
      <c r="BR144" s="545">
        <f t="shared" ref="BR144:BR162" si="200">+BN144/$BR$1*$BS$1</f>
        <v>97802.513999999996</v>
      </c>
      <c r="BS144" s="545">
        <f t="shared" ref="BS144:BS162" si="201">+BO144/$BR$1*$BS$1</f>
        <v>208542.486</v>
      </c>
      <c r="BZ144" s="544" t="s">
        <v>580</v>
      </c>
      <c r="CA144" s="545">
        <v>306345000</v>
      </c>
      <c r="CB144" s="545">
        <v>43399024</v>
      </c>
      <c r="CC144" s="545">
        <v>113177239</v>
      </c>
      <c r="CD144" s="545">
        <v>193167761</v>
      </c>
      <c r="CE144" s="545">
        <f t="shared" si="196"/>
        <v>306345</v>
      </c>
      <c r="CF144" s="545">
        <f t="shared" ref="CF144:CF162" si="202">+CB144/$CG$1*$CH$1</f>
        <v>43399.023999999998</v>
      </c>
      <c r="CG144" s="545">
        <f t="shared" ref="CG144:CG162" si="203">+CC144/$CG$1*$CH$1</f>
        <v>113177.239</v>
      </c>
      <c r="CH144" s="545">
        <f t="shared" ref="CH144:CH162" si="204">+CD144/$CG$1*$CH$1</f>
        <v>193167.761</v>
      </c>
      <c r="CP144" s="547" t="s">
        <v>774</v>
      </c>
      <c r="CQ144" s="546">
        <v>22500000</v>
      </c>
      <c r="CR144" s="546">
        <v>22456599</v>
      </c>
      <c r="CS144" s="546">
        <v>22456599</v>
      </c>
      <c r="CT144" s="546">
        <v>43401</v>
      </c>
      <c r="CU144" s="546">
        <f t="shared" si="140"/>
        <v>22500</v>
      </c>
      <c r="CV144" s="546">
        <f t="shared" si="141"/>
        <v>22456.598999999998</v>
      </c>
      <c r="CW144" s="546">
        <f t="shared" si="142"/>
        <v>22456.598999999998</v>
      </c>
      <c r="CX144" s="546">
        <f t="shared" si="143"/>
        <v>43.401000000000003</v>
      </c>
      <c r="DE144" s="544" t="s">
        <v>580</v>
      </c>
      <c r="DF144" s="545">
        <v>306345000</v>
      </c>
      <c r="DG144" s="545">
        <v>104458169</v>
      </c>
      <c r="DH144" s="545">
        <v>115019169</v>
      </c>
      <c r="DI144" s="545">
        <v>191325831</v>
      </c>
      <c r="DJ144" s="546">
        <f t="shared" si="168"/>
        <v>306345</v>
      </c>
      <c r="DK144" s="546">
        <f t="shared" si="169"/>
        <v>104458.16899999999</v>
      </c>
      <c r="DL144" s="546">
        <f t="shared" si="170"/>
        <v>115019.16899999999</v>
      </c>
      <c r="DM144" s="546">
        <f t="shared" si="171"/>
        <v>191325.83100000001</v>
      </c>
      <c r="DT144" s="544" t="s">
        <v>859</v>
      </c>
      <c r="DU144" s="545">
        <v>100000000</v>
      </c>
      <c r="DV144" s="545">
        <v>0</v>
      </c>
      <c r="DW144" s="545">
        <v>97064</v>
      </c>
      <c r="DX144" s="545">
        <v>99902936</v>
      </c>
      <c r="DY144" s="546">
        <f t="shared" si="172"/>
        <v>100000</v>
      </c>
      <c r="DZ144" s="546">
        <f t="shared" si="173"/>
        <v>0</v>
      </c>
      <c r="EA144" s="546">
        <f t="shared" si="174"/>
        <v>97.063999999999993</v>
      </c>
      <c r="EB144" s="546">
        <f t="shared" si="175"/>
        <v>99902.936000000002</v>
      </c>
      <c r="EI144" s="547" t="s">
        <v>852</v>
      </c>
      <c r="EJ144" s="546">
        <v>71000000</v>
      </c>
      <c r="EK144" s="546">
        <v>416256037</v>
      </c>
      <c r="EL144" s="546">
        <v>416256037</v>
      </c>
      <c r="EM144" s="548">
        <f t="shared" si="176"/>
        <v>71000</v>
      </c>
      <c r="EN144" s="548">
        <f t="shared" si="177"/>
        <v>416256.03700000001</v>
      </c>
      <c r="EO144" s="548">
        <f t="shared" si="178"/>
        <v>416256.03700000001</v>
      </c>
      <c r="EW144" s="544" t="s">
        <v>857</v>
      </c>
      <c r="EX144" s="545">
        <v>0</v>
      </c>
      <c r="EY144" s="545">
        <v>2640021</v>
      </c>
      <c r="EZ144" s="545">
        <v>2640021</v>
      </c>
      <c r="FA144" s="545">
        <v>2640021</v>
      </c>
      <c r="FB144" s="545">
        <v>0</v>
      </c>
      <c r="FC144" s="546">
        <f t="shared" si="179"/>
        <v>0</v>
      </c>
      <c r="FD144" s="546">
        <f t="shared" si="180"/>
        <v>2640.0210000000002</v>
      </c>
      <c r="FE144" s="546">
        <f t="shared" si="181"/>
        <v>2640.0210000000002</v>
      </c>
      <c r="FF144" s="546">
        <f t="shared" si="182"/>
        <v>2640.0210000000002</v>
      </c>
      <c r="FG144" s="546">
        <f t="shared" si="183"/>
        <v>0</v>
      </c>
      <c r="FN144" s="549" t="s">
        <v>852</v>
      </c>
      <c r="FO144" s="550">
        <v>71000000</v>
      </c>
      <c r="FP144" s="550">
        <v>485972671</v>
      </c>
      <c r="FQ144" s="550">
        <v>485972671</v>
      </c>
      <c r="FR144" s="550">
        <f t="shared" si="184"/>
        <v>71000</v>
      </c>
      <c r="FS144" s="550">
        <f t="shared" si="185"/>
        <v>485972.67099999997</v>
      </c>
      <c r="FT144" s="550">
        <f t="shared" si="186"/>
        <v>485972.67099999997</v>
      </c>
    </row>
    <row r="145" spans="1:176" ht="15" customHeight="1" x14ac:dyDescent="0.25">
      <c r="A145" s="890" t="s">
        <v>889</v>
      </c>
      <c r="B145" s="544"/>
      <c r="C145" s="545"/>
      <c r="D145" s="545"/>
      <c r="E145" s="545"/>
      <c r="F145" s="545"/>
      <c r="G145" s="545"/>
      <c r="H145" s="546"/>
      <c r="I145" s="546"/>
      <c r="J145" s="546"/>
      <c r="K145" s="546"/>
      <c r="S145" s="544" t="s">
        <v>407</v>
      </c>
      <c r="T145" s="545">
        <v>10100</v>
      </c>
      <c r="U145" s="545">
        <v>1085592314</v>
      </c>
      <c r="V145" s="545">
        <v>1085592314</v>
      </c>
      <c r="W145" s="545">
        <v>-1085582214</v>
      </c>
      <c r="X145" s="546">
        <f t="shared" si="197"/>
        <v>10.5242</v>
      </c>
      <c r="Y145" s="546">
        <f t="shared" si="197"/>
        <v>1131187.1911880001</v>
      </c>
      <c r="Z145" s="546">
        <f t="shared" si="197"/>
        <v>1131187.1911880001</v>
      </c>
      <c r="AA145" s="546">
        <f t="shared" si="197"/>
        <v>-1131176.666988</v>
      </c>
      <c r="AG145" s="544" t="s">
        <v>582</v>
      </c>
      <c r="AH145" s="545">
        <v>139738375</v>
      </c>
      <c r="AI145" s="545">
        <v>8100000</v>
      </c>
      <c r="AJ145" s="545">
        <v>8480800</v>
      </c>
      <c r="AK145" s="545">
        <v>131257575</v>
      </c>
      <c r="AL145" s="545">
        <f t="shared" si="191"/>
        <v>139738.375</v>
      </c>
      <c r="AM145" s="545">
        <f t="shared" si="192"/>
        <v>8100</v>
      </c>
      <c r="AN145" s="545">
        <f t="shared" si="193"/>
        <v>8480.7999999999993</v>
      </c>
      <c r="AO145" s="545">
        <f t="shared" si="194"/>
        <v>131257.57500000001</v>
      </c>
      <c r="AV145" s="544" t="s">
        <v>580</v>
      </c>
      <c r="AW145" s="545">
        <v>262003000</v>
      </c>
      <c r="AX145" s="545">
        <v>40906699</v>
      </c>
      <c r="AY145" s="545">
        <v>47811524</v>
      </c>
      <c r="AZ145" s="545">
        <v>214191476</v>
      </c>
      <c r="BA145" s="546">
        <f t="shared" si="156"/>
        <v>262003</v>
      </c>
      <c r="BB145" s="546">
        <f t="shared" si="157"/>
        <v>40906.699000000001</v>
      </c>
      <c r="BC145" s="546">
        <f t="shared" si="158"/>
        <v>47811.523999999998</v>
      </c>
      <c r="BD145" s="546">
        <f t="shared" si="159"/>
        <v>214191.476</v>
      </c>
      <c r="BF145" s="552"/>
      <c r="BK145" s="544" t="s">
        <v>774</v>
      </c>
      <c r="BL145" s="545">
        <v>22500000</v>
      </c>
      <c r="BM145" s="545">
        <v>22456599</v>
      </c>
      <c r="BN145" s="545">
        <v>22456599</v>
      </c>
      <c r="BO145" s="545">
        <v>43401</v>
      </c>
      <c r="BP145" s="545">
        <f t="shared" si="198"/>
        <v>22500</v>
      </c>
      <c r="BQ145" s="545">
        <f t="shared" si="199"/>
        <v>22456.598999999998</v>
      </c>
      <c r="BR145" s="545">
        <f t="shared" si="200"/>
        <v>22456.598999999998</v>
      </c>
      <c r="BS145" s="545">
        <f t="shared" si="201"/>
        <v>43.401000000000003</v>
      </c>
      <c r="BZ145" s="544" t="s">
        <v>774</v>
      </c>
      <c r="CA145" s="545">
        <v>22500000</v>
      </c>
      <c r="CB145" s="545">
        <v>22456599</v>
      </c>
      <c r="CC145" s="545">
        <v>22456599</v>
      </c>
      <c r="CD145" s="545">
        <v>43401</v>
      </c>
      <c r="CE145" s="545">
        <f t="shared" si="196"/>
        <v>22500</v>
      </c>
      <c r="CF145" s="545">
        <f t="shared" si="202"/>
        <v>22456.598999999998</v>
      </c>
      <c r="CG145" s="545">
        <f t="shared" si="203"/>
        <v>22456.598999999998</v>
      </c>
      <c r="CH145" s="545">
        <f t="shared" si="204"/>
        <v>43.401000000000003</v>
      </c>
      <c r="CP145" s="547" t="s">
        <v>831</v>
      </c>
      <c r="CQ145" s="546">
        <v>21000000</v>
      </c>
      <c r="CR145" s="546">
        <v>226100</v>
      </c>
      <c r="CS145" s="546">
        <v>2067030</v>
      </c>
      <c r="CT145" s="546">
        <v>18932970</v>
      </c>
      <c r="CU145" s="546">
        <f t="shared" si="140"/>
        <v>21000</v>
      </c>
      <c r="CV145" s="546">
        <f t="shared" si="141"/>
        <v>226.1</v>
      </c>
      <c r="CW145" s="546">
        <f t="shared" si="142"/>
        <v>2067.0300000000002</v>
      </c>
      <c r="CX145" s="546">
        <f t="shared" si="143"/>
        <v>18932.97</v>
      </c>
      <c r="DE145" s="544" t="s">
        <v>774</v>
      </c>
      <c r="DF145" s="545">
        <v>22500000</v>
      </c>
      <c r="DG145" s="545">
        <v>22456599</v>
      </c>
      <c r="DH145" s="545">
        <v>22456599</v>
      </c>
      <c r="DI145" s="545">
        <v>43401</v>
      </c>
      <c r="DJ145" s="546">
        <f t="shared" si="168"/>
        <v>22500</v>
      </c>
      <c r="DK145" s="546">
        <f t="shared" si="169"/>
        <v>22456.598999999998</v>
      </c>
      <c r="DL145" s="546">
        <f t="shared" si="170"/>
        <v>22456.598999999998</v>
      </c>
      <c r="DM145" s="546">
        <f t="shared" si="171"/>
        <v>43.401000000000003</v>
      </c>
      <c r="DT145" s="544" t="s">
        <v>580</v>
      </c>
      <c r="DU145" s="545">
        <v>306345000</v>
      </c>
      <c r="DV145" s="545">
        <v>104458169</v>
      </c>
      <c r="DW145" s="545">
        <v>115840267</v>
      </c>
      <c r="DX145" s="545">
        <v>190504733</v>
      </c>
      <c r="DY145" s="546">
        <f t="shared" si="172"/>
        <v>306345</v>
      </c>
      <c r="DZ145" s="546">
        <f t="shared" si="173"/>
        <v>104458.16899999999</v>
      </c>
      <c r="EA145" s="546">
        <f t="shared" si="174"/>
        <v>115840.26700000001</v>
      </c>
      <c r="EB145" s="546">
        <f t="shared" si="175"/>
        <v>190504.73300000001</v>
      </c>
      <c r="EI145" s="547" t="s">
        <v>857</v>
      </c>
      <c r="EJ145" s="546">
        <v>1600000</v>
      </c>
      <c r="EK145" s="546">
        <v>1467627</v>
      </c>
      <c r="EL145" s="546">
        <v>1467627</v>
      </c>
      <c r="EM145" s="548">
        <f t="shared" si="176"/>
        <v>1600</v>
      </c>
      <c r="EN145" s="548">
        <f t="shared" si="177"/>
        <v>1467.627</v>
      </c>
      <c r="EO145" s="548">
        <f t="shared" si="178"/>
        <v>1467.627</v>
      </c>
      <c r="EW145" s="544" t="s">
        <v>858</v>
      </c>
      <c r="EX145" s="545">
        <v>0</v>
      </c>
      <c r="EY145" s="545">
        <v>78000</v>
      </c>
      <c r="EZ145" s="545">
        <v>0</v>
      </c>
      <c r="FA145" s="545">
        <v>0</v>
      </c>
      <c r="FB145" s="545">
        <v>78000</v>
      </c>
      <c r="FC145" s="546">
        <f t="shared" si="179"/>
        <v>0</v>
      </c>
      <c r="FD145" s="546">
        <f t="shared" si="180"/>
        <v>78</v>
      </c>
      <c r="FE145" s="546">
        <f t="shared" si="181"/>
        <v>0</v>
      </c>
      <c r="FF145" s="546">
        <f t="shared" si="182"/>
        <v>0</v>
      </c>
      <c r="FG145" s="546">
        <f t="shared" si="183"/>
        <v>78</v>
      </c>
      <c r="FN145" s="549" t="s">
        <v>984</v>
      </c>
      <c r="FO145" s="550">
        <v>32805004</v>
      </c>
      <c r="FP145" s="550">
        <v>32805004</v>
      </c>
      <c r="FQ145" s="550">
        <v>32805004</v>
      </c>
      <c r="FR145" s="550">
        <f t="shared" si="184"/>
        <v>32805.004000000001</v>
      </c>
      <c r="FS145" s="550">
        <f t="shared" si="185"/>
        <v>32805.004000000001</v>
      </c>
      <c r="FT145" s="550">
        <f t="shared" si="186"/>
        <v>32805.004000000001</v>
      </c>
    </row>
    <row r="146" spans="1:176" ht="15" customHeight="1" x14ac:dyDescent="0.25">
      <c r="A146" s="890" t="s">
        <v>888</v>
      </c>
      <c r="B146" s="544"/>
      <c r="C146" s="545"/>
      <c r="D146" s="545"/>
      <c r="E146" s="545"/>
      <c r="F146" s="545"/>
      <c r="G146" s="545"/>
      <c r="H146" s="546"/>
      <c r="I146" s="546"/>
      <c r="J146" s="546"/>
      <c r="K146" s="546"/>
      <c r="S146" s="544"/>
      <c r="T146" s="545"/>
      <c r="U146" s="545"/>
      <c r="V146" s="545"/>
      <c r="W146" s="545"/>
      <c r="X146" s="546"/>
      <c r="Y146" s="546"/>
      <c r="Z146" s="546"/>
      <c r="AA146" s="546"/>
      <c r="AG146" s="544" t="s">
        <v>767</v>
      </c>
      <c r="AH146" s="545">
        <v>89144625</v>
      </c>
      <c r="AI146" s="545">
        <v>4153875</v>
      </c>
      <c r="AJ146" s="545">
        <v>12461625</v>
      </c>
      <c r="AK146" s="545">
        <v>76683000</v>
      </c>
      <c r="AL146" s="545">
        <f t="shared" si="191"/>
        <v>89144.625</v>
      </c>
      <c r="AM146" s="545">
        <f t="shared" si="192"/>
        <v>4153.875</v>
      </c>
      <c r="AN146" s="545">
        <f t="shared" si="193"/>
        <v>12461.625</v>
      </c>
      <c r="AO146" s="545">
        <f t="shared" si="194"/>
        <v>76683</v>
      </c>
      <c r="AV146" s="544" t="s">
        <v>774</v>
      </c>
      <c r="AW146" s="545">
        <v>33120000</v>
      </c>
      <c r="AX146" s="545">
        <v>22456599</v>
      </c>
      <c r="AY146" s="545">
        <v>22456599</v>
      </c>
      <c r="AZ146" s="545">
        <v>10663401</v>
      </c>
      <c r="BA146" s="546">
        <f t="shared" si="156"/>
        <v>33120</v>
      </c>
      <c r="BB146" s="546">
        <f t="shared" si="157"/>
        <v>22456.598999999998</v>
      </c>
      <c r="BC146" s="546">
        <f t="shared" si="158"/>
        <v>22456.598999999998</v>
      </c>
      <c r="BD146" s="546">
        <f t="shared" si="159"/>
        <v>10663.401</v>
      </c>
      <c r="BF146" s="552"/>
      <c r="BK146" s="544" t="s">
        <v>831</v>
      </c>
      <c r="BL146" s="545">
        <v>21000000</v>
      </c>
      <c r="BM146" s="545">
        <v>0</v>
      </c>
      <c r="BN146" s="545">
        <v>0</v>
      </c>
      <c r="BO146" s="545">
        <v>21000000</v>
      </c>
      <c r="BP146" s="545">
        <f t="shared" si="198"/>
        <v>21000</v>
      </c>
      <c r="BQ146" s="545">
        <f t="shared" si="199"/>
        <v>0</v>
      </c>
      <c r="BR146" s="545">
        <f t="shared" si="200"/>
        <v>0</v>
      </c>
      <c r="BS146" s="545">
        <f t="shared" si="201"/>
        <v>21000</v>
      </c>
      <c r="BZ146" s="544" t="s">
        <v>831</v>
      </c>
      <c r="CA146" s="545">
        <v>21000000</v>
      </c>
      <c r="CB146" s="545">
        <v>0</v>
      </c>
      <c r="CC146" s="545">
        <v>226100</v>
      </c>
      <c r="CD146" s="545">
        <v>20773900</v>
      </c>
      <c r="CE146" s="545">
        <f t="shared" si="196"/>
        <v>21000</v>
      </c>
      <c r="CF146" s="545">
        <f t="shared" si="202"/>
        <v>0</v>
      </c>
      <c r="CG146" s="545">
        <f t="shared" si="203"/>
        <v>226.1</v>
      </c>
      <c r="CH146" s="545">
        <f t="shared" si="204"/>
        <v>20773.900000000001</v>
      </c>
      <c r="CP146" s="547" t="s">
        <v>400</v>
      </c>
      <c r="CQ146" s="546">
        <v>41500000</v>
      </c>
      <c r="CR146" s="546">
        <v>1948625</v>
      </c>
      <c r="CS146" s="546">
        <v>37448625</v>
      </c>
      <c r="CT146" s="546">
        <v>4051375</v>
      </c>
      <c r="CU146" s="546">
        <f t="shared" si="140"/>
        <v>41500</v>
      </c>
      <c r="CV146" s="546">
        <f t="shared" si="141"/>
        <v>1948.625</v>
      </c>
      <c r="CW146" s="546">
        <f t="shared" si="142"/>
        <v>37448.625</v>
      </c>
      <c r="CX146" s="546">
        <f t="shared" si="143"/>
        <v>4051.375</v>
      </c>
      <c r="DE146" s="544" t="s">
        <v>831</v>
      </c>
      <c r="DF146" s="545">
        <v>21000000</v>
      </c>
      <c r="DG146" s="545">
        <v>2067030</v>
      </c>
      <c r="DH146" s="545">
        <v>2067030</v>
      </c>
      <c r="DI146" s="545">
        <v>18932970</v>
      </c>
      <c r="DJ146" s="546">
        <f t="shared" si="168"/>
        <v>21000</v>
      </c>
      <c r="DK146" s="546">
        <f t="shared" si="169"/>
        <v>2067.0300000000002</v>
      </c>
      <c r="DL146" s="546">
        <f t="shared" si="170"/>
        <v>2067.0300000000002</v>
      </c>
      <c r="DM146" s="546">
        <f t="shared" si="171"/>
        <v>18932.97</v>
      </c>
      <c r="DT146" s="544" t="s">
        <v>774</v>
      </c>
      <c r="DU146" s="545">
        <v>22500000</v>
      </c>
      <c r="DV146" s="545">
        <v>22456599</v>
      </c>
      <c r="DW146" s="545">
        <v>22456599</v>
      </c>
      <c r="DX146" s="545">
        <v>43401</v>
      </c>
      <c r="DY146" s="546">
        <f t="shared" ref="DY146:DY164" si="205">+DU146/$EA$1*$EB$1</f>
        <v>22500</v>
      </c>
      <c r="DZ146" s="546">
        <f t="shared" ref="DZ146:DZ164" si="206">+DV146/$EA$1*$EB$1</f>
        <v>22456.598999999998</v>
      </c>
      <c r="EA146" s="546">
        <f t="shared" ref="EA146:EA164" si="207">+DW146/$EA$1*$EB$1</f>
        <v>22456.598999999998</v>
      </c>
      <c r="EB146" s="546">
        <f t="shared" ref="EB146:EB164" si="208">+DX146/$EA$1*$EB$1</f>
        <v>43.401000000000003</v>
      </c>
      <c r="EI146" s="547" t="s">
        <v>858</v>
      </c>
      <c r="EJ146" s="546">
        <v>78000</v>
      </c>
      <c r="EK146" s="546">
        <v>0</v>
      </c>
      <c r="EL146" s="546">
        <v>0</v>
      </c>
      <c r="EM146" s="548">
        <f t="shared" si="176"/>
        <v>78</v>
      </c>
      <c r="EN146" s="548">
        <f t="shared" si="177"/>
        <v>0</v>
      </c>
      <c r="EO146" s="548">
        <f t="shared" si="178"/>
        <v>0</v>
      </c>
      <c r="EW146" s="544" t="s">
        <v>859</v>
      </c>
      <c r="EX146" s="545">
        <v>0</v>
      </c>
      <c r="EY146" s="545">
        <v>64654975</v>
      </c>
      <c r="EZ146" s="545">
        <v>0</v>
      </c>
      <c r="FA146" s="545">
        <v>97064</v>
      </c>
      <c r="FB146" s="545">
        <v>64557911</v>
      </c>
      <c r="FC146" s="546">
        <f t="shared" si="179"/>
        <v>0</v>
      </c>
      <c r="FD146" s="546">
        <f t="shared" si="180"/>
        <v>64654.974999999999</v>
      </c>
      <c r="FE146" s="546">
        <f t="shared" si="181"/>
        <v>0</v>
      </c>
      <c r="FF146" s="546">
        <f t="shared" si="182"/>
        <v>97.063999999999993</v>
      </c>
      <c r="FG146" s="546">
        <f t="shared" si="183"/>
        <v>64557.911</v>
      </c>
      <c r="FN146" s="549" t="s">
        <v>857</v>
      </c>
      <c r="FO146" s="550">
        <v>2640021</v>
      </c>
      <c r="FP146" s="550">
        <v>2640021</v>
      </c>
      <c r="FQ146" s="550">
        <v>2640021</v>
      </c>
      <c r="FR146" s="550">
        <f t="shared" si="184"/>
        <v>2640.0210000000002</v>
      </c>
      <c r="FS146" s="550">
        <f t="shared" si="185"/>
        <v>2640.0210000000002</v>
      </c>
      <c r="FT146" s="550">
        <f t="shared" si="186"/>
        <v>2640.0210000000002</v>
      </c>
    </row>
    <row r="147" spans="1:176" ht="15" customHeight="1" x14ac:dyDescent="0.25">
      <c r="A147" s="890" t="s">
        <v>889</v>
      </c>
      <c r="S147" s="544"/>
      <c r="T147" s="545"/>
      <c r="U147" s="545"/>
      <c r="V147" s="545"/>
      <c r="W147" s="545"/>
      <c r="X147" s="546"/>
      <c r="Y147" s="546"/>
      <c r="Z147" s="546"/>
      <c r="AA147" s="546"/>
      <c r="AG147" s="544" t="s">
        <v>881</v>
      </c>
      <c r="AH147" s="545">
        <v>192052970000</v>
      </c>
      <c r="AI147" s="545">
        <v>1003570000</v>
      </c>
      <c r="AJ147" s="545">
        <v>1080957000</v>
      </c>
      <c r="AK147" s="545">
        <v>190972013000</v>
      </c>
      <c r="AL147" s="545">
        <f t="shared" si="191"/>
        <v>192052970</v>
      </c>
      <c r="AM147" s="545">
        <f t="shared" si="192"/>
        <v>1003570</v>
      </c>
      <c r="AN147" s="545">
        <f t="shared" si="193"/>
        <v>1080957</v>
      </c>
      <c r="AO147" s="545">
        <f t="shared" si="194"/>
        <v>190972013</v>
      </c>
      <c r="AV147" s="544" t="s">
        <v>401</v>
      </c>
      <c r="AW147" s="545">
        <v>228883000</v>
      </c>
      <c r="AX147" s="545">
        <v>18450100</v>
      </c>
      <c r="AY147" s="545">
        <v>25354925</v>
      </c>
      <c r="AZ147" s="545">
        <v>203528075</v>
      </c>
      <c r="BA147" s="546">
        <f t="shared" si="156"/>
        <v>228883</v>
      </c>
      <c r="BB147" s="546">
        <f t="shared" si="157"/>
        <v>18450.099999999999</v>
      </c>
      <c r="BC147" s="546">
        <f t="shared" si="158"/>
        <v>25354.924999999999</v>
      </c>
      <c r="BD147" s="546">
        <f t="shared" si="159"/>
        <v>203528.07500000001</v>
      </c>
      <c r="BK147" s="544" t="s">
        <v>400</v>
      </c>
      <c r="BL147" s="545">
        <v>41500000</v>
      </c>
      <c r="BM147" s="545">
        <v>0</v>
      </c>
      <c r="BN147" s="545">
        <v>35500000</v>
      </c>
      <c r="BO147" s="545">
        <v>6000000</v>
      </c>
      <c r="BP147" s="545">
        <f t="shared" si="198"/>
        <v>41500</v>
      </c>
      <c r="BQ147" s="545">
        <f t="shared" si="199"/>
        <v>0</v>
      </c>
      <c r="BR147" s="545">
        <f t="shared" si="200"/>
        <v>35500</v>
      </c>
      <c r="BS147" s="545">
        <f t="shared" si="201"/>
        <v>6000</v>
      </c>
      <c r="BZ147" s="544" t="s">
        <v>400</v>
      </c>
      <c r="CA147" s="545">
        <v>41500000</v>
      </c>
      <c r="CB147" s="545">
        <v>0</v>
      </c>
      <c r="CC147" s="545">
        <v>37448625</v>
      </c>
      <c r="CD147" s="545">
        <v>4051375</v>
      </c>
      <c r="CE147" s="545">
        <f t="shared" si="196"/>
        <v>41500</v>
      </c>
      <c r="CF147" s="545">
        <f t="shared" si="202"/>
        <v>0</v>
      </c>
      <c r="CG147" s="545">
        <f t="shared" si="203"/>
        <v>37448.625</v>
      </c>
      <c r="CH147" s="545">
        <f t="shared" si="204"/>
        <v>4051.375</v>
      </c>
      <c r="CP147" s="547" t="s">
        <v>581</v>
      </c>
      <c r="CQ147" s="546">
        <v>2000000</v>
      </c>
      <c r="CR147" s="546">
        <v>1948625</v>
      </c>
      <c r="CS147" s="546">
        <v>1948625</v>
      </c>
      <c r="CT147" s="546">
        <v>51375</v>
      </c>
      <c r="CU147" s="546">
        <f t="shared" si="140"/>
        <v>2000</v>
      </c>
      <c r="CV147" s="546">
        <f t="shared" si="141"/>
        <v>1948.625</v>
      </c>
      <c r="CW147" s="546">
        <f t="shared" si="142"/>
        <v>1948.625</v>
      </c>
      <c r="CX147" s="546">
        <f t="shared" si="143"/>
        <v>51.375</v>
      </c>
      <c r="DE147" s="544" t="s">
        <v>400</v>
      </c>
      <c r="DF147" s="545">
        <v>41500000</v>
      </c>
      <c r="DG147" s="545">
        <v>37448624</v>
      </c>
      <c r="DH147" s="545">
        <v>37448625</v>
      </c>
      <c r="DI147" s="545">
        <v>4051375</v>
      </c>
      <c r="DJ147" s="546">
        <f t="shared" si="168"/>
        <v>41500</v>
      </c>
      <c r="DK147" s="546">
        <f t="shared" si="169"/>
        <v>37448.624000000003</v>
      </c>
      <c r="DL147" s="546">
        <f t="shared" si="170"/>
        <v>37448.625</v>
      </c>
      <c r="DM147" s="546">
        <f t="shared" si="171"/>
        <v>4051.375</v>
      </c>
      <c r="DT147" s="544" t="s">
        <v>831</v>
      </c>
      <c r="DU147" s="545">
        <v>21000000</v>
      </c>
      <c r="DV147" s="545">
        <v>2067030</v>
      </c>
      <c r="DW147" s="545">
        <v>2067030</v>
      </c>
      <c r="DX147" s="545">
        <v>18932970</v>
      </c>
      <c r="DY147" s="546">
        <f t="shared" si="205"/>
        <v>21000</v>
      </c>
      <c r="DZ147" s="546">
        <f t="shared" si="206"/>
        <v>2067.0300000000002</v>
      </c>
      <c r="EA147" s="546">
        <f t="shared" si="207"/>
        <v>2067.0300000000002</v>
      </c>
      <c r="EB147" s="546">
        <f t="shared" si="208"/>
        <v>18932.97</v>
      </c>
      <c r="EI147" s="547" t="s">
        <v>859</v>
      </c>
      <c r="EJ147" s="546">
        <v>98500000</v>
      </c>
      <c r="EK147" s="546">
        <v>97064</v>
      </c>
      <c r="EL147" s="546">
        <v>0</v>
      </c>
      <c r="EM147" s="548">
        <f t="shared" si="176"/>
        <v>98500</v>
      </c>
      <c r="EN147" s="548">
        <f t="shared" si="177"/>
        <v>97.063999999999993</v>
      </c>
      <c r="EO147" s="548">
        <f t="shared" si="178"/>
        <v>0</v>
      </c>
      <c r="EW147" s="544" t="s">
        <v>580</v>
      </c>
      <c r="EX147" s="545">
        <v>261711000</v>
      </c>
      <c r="EY147" s="545">
        <v>275925887</v>
      </c>
      <c r="EZ147" s="545">
        <v>215830007</v>
      </c>
      <c r="FA147" s="545">
        <v>226390007</v>
      </c>
      <c r="FB147" s="545">
        <v>49535880</v>
      </c>
      <c r="FC147" s="546">
        <f t="shared" si="179"/>
        <v>261711</v>
      </c>
      <c r="FD147" s="546">
        <f t="shared" si="180"/>
        <v>275925.88699999999</v>
      </c>
      <c r="FE147" s="546">
        <f t="shared" si="181"/>
        <v>215830.00700000001</v>
      </c>
      <c r="FF147" s="546">
        <f t="shared" si="182"/>
        <v>226390.00700000001</v>
      </c>
      <c r="FG147" s="546">
        <f t="shared" si="183"/>
        <v>49535.88</v>
      </c>
      <c r="FN147" s="549" t="s">
        <v>858</v>
      </c>
      <c r="FO147" s="550">
        <v>78000</v>
      </c>
      <c r="FP147" s="550">
        <v>0</v>
      </c>
      <c r="FQ147" s="550">
        <v>0</v>
      </c>
      <c r="FR147" s="550">
        <f t="shared" si="184"/>
        <v>78</v>
      </c>
      <c r="FS147" s="550">
        <f t="shared" si="185"/>
        <v>0</v>
      </c>
      <c r="FT147" s="550">
        <f t="shared" si="186"/>
        <v>0</v>
      </c>
    </row>
    <row r="148" spans="1:176" ht="15" customHeight="1" x14ac:dyDescent="0.25">
      <c r="A148" s="890" t="s">
        <v>890</v>
      </c>
      <c r="H148" s="546"/>
      <c r="I148" s="546"/>
      <c r="J148" s="546"/>
      <c r="K148" s="546"/>
      <c r="AG148" s="544" t="s">
        <v>882</v>
      </c>
      <c r="AH148" s="545">
        <v>192052970000</v>
      </c>
      <c r="AI148" s="545">
        <v>1003570000</v>
      </c>
      <c r="AJ148" s="545">
        <v>1080957000</v>
      </c>
      <c r="AK148" s="545">
        <v>190972013000</v>
      </c>
      <c r="AL148" s="545">
        <f t="shared" si="191"/>
        <v>192052970</v>
      </c>
      <c r="AM148" s="545">
        <f t="shared" si="192"/>
        <v>1003570</v>
      </c>
      <c r="AN148" s="545">
        <f t="shared" si="193"/>
        <v>1080957</v>
      </c>
      <c r="AO148" s="545">
        <f t="shared" si="194"/>
        <v>190972013</v>
      </c>
      <c r="AV148" s="544" t="s">
        <v>582</v>
      </c>
      <c r="AW148" s="545">
        <v>139738375</v>
      </c>
      <c r="AX148" s="545">
        <v>8480800</v>
      </c>
      <c r="AY148" s="545">
        <v>12893300</v>
      </c>
      <c r="AZ148" s="545">
        <v>126845075</v>
      </c>
      <c r="BA148" s="546">
        <f t="shared" si="156"/>
        <v>139738.375</v>
      </c>
      <c r="BB148" s="546">
        <f t="shared" si="157"/>
        <v>8480.7999999999993</v>
      </c>
      <c r="BC148" s="546">
        <f t="shared" si="158"/>
        <v>12893.3</v>
      </c>
      <c r="BD148" s="546">
        <f t="shared" si="159"/>
        <v>126845.075</v>
      </c>
      <c r="BK148" s="544" t="s">
        <v>581</v>
      </c>
      <c r="BL148" s="545">
        <v>2000000</v>
      </c>
      <c r="BM148" s="545">
        <v>0</v>
      </c>
      <c r="BN148" s="545">
        <v>0</v>
      </c>
      <c r="BO148" s="545">
        <v>2000000</v>
      </c>
      <c r="BP148" s="545">
        <f t="shared" si="198"/>
        <v>2000</v>
      </c>
      <c r="BQ148" s="545">
        <f t="shared" si="199"/>
        <v>0</v>
      </c>
      <c r="BR148" s="545">
        <f t="shared" si="200"/>
        <v>0</v>
      </c>
      <c r="BS148" s="545">
        <f t="shared" si="201"/>
        <v>2000</v>
      </c>
      <c r="BZ148" s="544" t="s">
        <v>581</v>
      </c>
      <c r="CA148" s="545">
        <v>2000000</v>
      </c>
      <c r="CB148" s="545">
        <v>0</v>
      </c>
      <c r="CC148" s="545">
        <v>1948625</v>
      </c>
      <c r="CD148" s="545">
        <v>51375</v>
      </c>
      <c r="CE148" s="545">
        <f t="shared" si="196"/>
        <v>2000</v>
      </c>
      <c r="CF148" s="545">
        <f t="shared" si="202"/>
        <v>0</v>
      </c>
      <c r="CG148" s="545">
        <f t="shared" si="203"/>
        <v>1948.625</v>
      </c>
      <c r="CH148" s="545">
        <f t="shared" si="204"/>
        <v>51.375</v>
      </c>
      <c r="CP148" s="547" t="s">
        <v>936</v>
      </c>
      <c r="CQ148" s="546">
        <v>39500000</v>
      </c>
      <c r="CR148" s="546">
        <v>0</v>
      </c>
      <c r="CS148" s="546">
        <v>35500000</v>
      </c>
      <c r="CT148" s="546">
        <v>4000000</v>
      </c>
      <c r="CU148" s="546">
        <f t="shared" si="140"/>
        <v>39500</v>
      </c>
      <c r="CV148" s="546">
        <f t="shared" si="141"/>
        <v>0</v>
      </c>
      <c r="CW148" s="546">
        <f t="shared" si="142"/>
        <v>35500</v>
      </c>
      <c r="CX148" s="546">
        <f t="shared" si="143"/>
        <v>4000</v>
      </c>
      <c r="DE148" s="544" t="s">
        <v>581</v>
      </c>
      <c r="DF148" s="545">
        <v>2948625</v>
      </c>
      <c r="DG148" s="545">
        <v>1948625</v>
      </c>
      <c r="DH148" s="545">
        <v>1948625</v>
      </c>
      <c r="DI148" s="545">
        <v>1000000</v>
      </c>
      <c r="DJ148" s="546">
        <f t="shared" si="168"/>
        <v>2948.625</v>
      </c>
      <c r="DK148" s="546">
        <f t="shared" si="169"/>
        <v>1948.625</v>
      </c>
      <c r="DL148" s="546">
        <f t="shared" si="170"/>
        <v>1948.625</v>
      </c>
      <c r="DM148" s="546">
        <f t="shared" si="171"/>
        <v>1000</v>
      </c>
      <c r="DT148" s="544" t="s">
        <v>400</v>
      </c>
      <c r="DU148" s="545">
        <v>41500000</v>
      </c>
      <c r="DV148" s="545">
        <v>37448624</v>
      </c>
      <c r="DW148" s="545">
        <v>38269723</v>
      </c>
      <c r="DX148" s="545">
        <v>3230277</v>
      </c>
      <c r="DY148" s="546">
        <f t="shared" si="205"/>
        <v>41500</v>
      </c>
      <c r="DZ148" s="546">
        <f t="shared" si="206"/>
        <v>37448.624000000003</v>
      </c>
      <c r="EA148" s="546">
        <f t="shared" si="207"/>
        <v>38269.722999999998</v>
      </c>
      <c r="EB148" s="546">
        <f t="shared" si="208"/>
        <v>3230.277</v>
      </c>
      <c r="EI148" s="547" t="s">
        <v>829</v>
      </c>
      <c r="EJ148" s="546">
        <v>0</v>
      </c>
      <c r="EK148" s="546">
        <v>0</v>
      </c>
      <c r="EL148" s="546">
        <v>0</v>
      </c>
      <c r="EM148" s="548">
        <f t="shared" si="176"/>
        <v>0</v>
      </c>
      <c r="EN148" s="548">
        <f t="shared" si="177"/>
        <v>0</v>
      </c>
      <c r="EO148" s="548">
        <f t="shared" si="178"/>
        <v>0</v>
      </c>
      <c r="EW148" s="544" t="s">
        <v>774</v>
      </c>
      <c r="EX148" s="545">
        <v>22457000</v>
      </c>
      <c r="EY148" s="545">
        <v>22457000</v>
      </c>
      <c r="EZ148" s="545">
        <v>22456599</v>
      </c>
      <c r="FA148" s="545">
        <v>22456599</v>
      </c>
      <c r="FB148" s="545">
        <v>401</v>
      </c>
      <c r="FC148" s="546">
        <f t="shared" si="179"/>
        <v>22457</v>
      </c>
      <c r="FD148" s="546">
        <f t="shared" si="180"/>
        <v>22457</v>
      </c>
      <c r="FE148" s="546">
        <f t="shared" si="181"/>
        <v>22456.598999999998</v>
      </c>
      <c r="FF148" s="546">
        <f t="shared" si="182"/>
        <v>22456.598999999998</v>
      </c>
      <c r="FG148" s="546">
        <f t="shared" si="183"/>
        <v>0.40100000000000002</v>
      </c>
      <c r="FN148" s="549" t="s">
        <v>859</v>
      </c>
      <c r="FO148" s="550">
        <v>64654975</v>
      </c>
      <c r="FP148" s="550">
        <v>0</v>
      </c>
      <c r="FQ148" s="550">
        <v>0</v>
      </c>
      <c r="FR148" s="550">
        <f t="shared" si="184"/>
        <v>64654.974999999999</v>
      </c>
      <c r="FS148" s="550">
        <f t="shared" si="185"/>
        <v>0</v>
      </c>
      <c r="FT148" s="550">
        <f t="shared" si="186"/>
        <v>0</v>
      </c>
    </row>
    <row r="149" spans="1:176" ht="15" customHeight="1" x14ac:dyDescent="0.25">
      <c r="A149" s="890" t="s">
        <v>888</v>
      </c>
      <c r="H149" s="546"/>
      <c r="I149" s="546"/>
      <c r="J149" s="546"/>
      <c r="K149" s="546"/>
      <c r="T149" s="544"/>
      <c r="V149" s="545"/>
      <c r="W149" s="545"/>
      <c r="AG149" s="544" t="s">
        <v>883</v>
      </c>
      <c r="AH149" s="545">
        <v>192052970000</v>
      </c>
      <c r="AI149" s="545">
        <v>1003570000</v>
      </c>
      <c r="AJ149" s="545">
        <v>1080957000</v>
      </c>
      <c r="AK149" s="545">
        <v>190972013000</v>
      </c>
      <c r="AL149" s="545">
        <f t="shared" si="191"/>
        <v>192052970</v>
      </c>
      <c r="AM149" s="545">
        <f t="shared" si="192"/>
        <v>1003570</v>
      </c>
      <c r="AN149" s="545">
        <f t="shared" si="193"/>
        <v>1080957</v>
      </c>
      <c r="AO149" s="545">
        <f t="shared" si="194"/>
        <v>190972013</v>
      </c>
      <c r="AV149" s="544" t="s">
        <v>767</v>
      </c>
      <c r="AW149" s="545">
        <v>89144625</v>
      </c>
      <c r="AX149" s="545">
        <v>9969300</v>
      </c>
      <c r="AY149" s="545">
        <v>12461625</v>
      </c>
      <c r="AZ149" s="545">
        <v>76683000</v>
      </c>
      <c r="BA149" s="546">
        <f t="shared" si="156"/>
        <v>89144.625</v>
      </c>
      <c r="BB149" s="546">
        <f t="shared" si="157"/>
        <v>9969.2999999999993</v>
      </c>
      <c r="BC149" s="546">
        <f t="shared" si="158"/>
        <v>12461.625</v>
      </c>
      <c r="BD149" s="546">
        <f t="shared" si="159"/>
        <v>76683</v>
      </c>
      <c r="BK149" s="544" t="s">
        <v>936</v>
      </c>
      <c r="BL149" s="545">
        <v>39500000</v>
      </c>
      <c r="BM149" s="545">
        <v>0</v>
      </c>
      <c r="BN149" s="545">
        <v>35500000</v>
      </c>
      <c r="BO149" s="545">
        <v>4000000</v>
      </c>
      <c r="BP149" s="545">
        <f t="shared" si="198"/>
        <v>39500</v>
      </c>
      <c r="BQ149" s="545">
        <f t="shared" si="199"/>
        <v>0</v>
      </c>
      <c r="BR149" s="545">
        <f t="shared" si="200"/>
        <v>35500</v>
      </c>
      <c r="BS149" s="545">
        <f t="shared" si="201"/>
        <v>4000</v>
      </c>
      <c r="BZ149" s="544" t="s">
        <v>936</v>
      </c>
      <c r="CA149" s="545">
        <v>39500000</v>
      </c>
      <c r="CB149" s="545">
        <v>0</v>
      </c>
      <c r="CC149" s="545">
        <v>35500000</v>
      </c>
      <c r="CD149" s="545">
        <v>4000000</v>
      </c>
      <c r="CE149" s="545">
        <f t="shared" si="196"/>
        <v>39500</v>
      </c>
      <c r="CF149" s="545">
        <f t="shared" si="202"/>
        <v>0</v>
      </c>
      <c r="CG149" s="545">
        <f t="shared" si="203"/>
        <v>35500</v>
      </c>
      <c r="CH149" s="545">
        <f t="shared" si="204"/>
        <v>4000</v>
      </c>
      <c r="CP149" s="547" t="s">
        <v>401</v>
      </c>
      <c r="CQ149" s="546">
        <v>221345000</v>
      </c>
      <c r="CR149" s="546">
        <v>23582425</v>
      </c>
      <c r="CS149" s="546">
        <v>53045915</v>
      </c>
      <c r="CT149" s="546">
        <v>168299085</v>
      </c>
      <c r="CU149" s="546">
        <f t="shared" si="140"/>
        <v>221345</v>
      </c>
      <c r="CV149" s="546">
        <f t="shared" si="141"/>
        <v>23582.424999999999</v>
      </c>
      <c r="CW149" s="546">
        <f t="shared" si="142"/>
        <v>53045.915000000001</v>
      </c>
      <c r="CX149" s="546">
        <f t="shared" si="143"/>
        <v>168299.08499999999</v>
      </c>
      <c r="DE149" s="544" t="s">
        <v>936</v>
      </c>
      <c r="DF149" s="545">
        <v>38551375</v>
      </c>
      <c r="DG149" s="545">
        <v>35499999</v>
      </c>
      <c r="DH149" s="545">
        <v>35500000</v>
      </c>
      <c r="DI149" s="545">
        <v>3051375</v>
      </c>
      <c r="DJ149" s="546">
        <f t="shared" si="168"/>
        <v>38551.375</v>
      </c>
      <c r="DK149" s="546">
        <f t="shared" si="169"/>
        <v>35499.999000000003</v>
      </c>
      <c r="DL149" s="546">
        <f t="shared" si="170"/>
        <v>35500</v>
      </c>
      <c r="DM149" s="546">
        <f t="shared" si="171"/>
        <v>3051.375</v>
      </c>
      <c r="DT149" s="544" t="s">
        <v>581</v>
      </c>
      <c r="DU149" s="545">
        <v>2948625</v>
      </c>
      <c r="DV149" s="545">
        <v>1948625</v>
      </c>
      <c r="DW149" s="545">
        <v>2769723</v>
      </c>
      <c r="DX149" s="545">
        <v>178902</v>
      </c>
      <c r="DY149" s="546">
        <f t="shared" si="205"/>
        <v>2948.625</v>
      </c>
      <c r="DZ149" s="546">
        <f t="shared" si="206"/>
        <v>1948.625</v>
      </c>
      <c r="EA149" s="546">
        <f t="shared" si="207"/>
        <v>2769.723</v>
      </c>
      <c r="EB149" s="546">
        <f t="shared" si="208"/>
        <v>178.90199999999999</v>
      </c>
      <c r="EI149" s="547" t="s">
        <v>830</v>
      </c>
      <c r="EJ149" s="546">
        <v>0</v>
      </c>
      <c r="EK149" s="546">
        <v>0</v>
      </c>
      <c r="EL149" s="546">
        <v>0</v>
      </c>
      <c r="EM149" s="548">
        <f t="shared" si="176"/>
        <v>0</v>
      </c>
      <c r="EN149" s="548">
        <f t="shared" si="177"/>
        <v>0</v>
      </c>
      <c r="EO149" s="548">
        <f t="shared" si="178"/>
        <v>0</v>
      </c>
      <c r="EW149" s="544" t="s">
        <v>831</v>
      </c>
      <c r="EX149" s="545">
        <v>3067000</v>
      </c>
      <c r="EY149" s="545">
        <v>16461165</v>
      </c>
      <c r="EZ149" s="545">
        <v>16461165</v>
      </c>
      <c r="FA149" s="545">
        <v>16461165</v>
      </c>
      <c r="FB149" s="545">
        <v>0</v>
      </c>
      <c r="FC149" s="546">
        <f t="shared" si="179"/>
        <v>3067</v>
      </c>
      <c r="FD149" s="546">
        <f t="shared" si="180"/>
        <v>16461.165000000001</v>
      </c>
      <c r="FE149" s="546">
        <f t="shared" si="181"/>
        <v>16461.165000000001</v>
      </c>
      <c r="FF149" s="546">
        <f t="shared" si="182"/>
        <v>16461.165000000001</v>
      </c>
      <c r="FG149" s="546">
        <f t="shared" si="183"/>
        <v>0</v>
      </c>
      <c r="FN149" s="549" t="s">
        <v>580</v>
      </c>
      <c r="FO149" s="550">
        <v>275928000</v>
      </c>
      <c r="FP149" s="550">
        <v>261409027</v>
      </c>
      <c r="FQ149" s="550">
        <v>268009027</v>
      </c>
      <c r="FR149" s="550">
        <f t="shared" si="184"/>
        <v>275928</v>
      </c>
      <c r="FS149" s="550">
        <f t="shared" si="185"/>
        <v>261409.027</v>
      </c>
      <c r="FT149" s="550">
        <f t="shared" si="186"/>
        <v>268009.027</v>
      </c>
    </row>
    <row r="150" spans="1:176" ht="15" customHeight="1" x14ac:dyDescent="0.25">
      <c r="T150" s="544"/>
      <c r="V150" s="545"/>
      <c r="W150" s="545"/>
      <c r="AG150" s="544" t="s">
        <v>402</v>
      </c>
      <c r="AH150" s="545">
        <v>15249044100</v>
      </c>
      <c r="AI150" s="545">
        <v>10011097898</v>
      </c>
      <c r="AJ150" s="545">
        <v>10011097898</v>
      </c>
      <c r="AK150" s="545">
        <v>5237946202</v>
      </c>
      <c r="AL150" s="545">
        <f t="shared" si="191"/>
        <v>15249044.1</v>
      </c>
      <c r="AM150" s="545">
        <f t="shared" si="192"/>
        <v>10011097.898</v>
      </c>
      <c r="AN150" s="545">
        <f t="shared" si="193"/>
        <v>10011097.898</v>
      </c>
      <c r="AO150" s="545">
        <f t="shared" si="194"/>
        <v>5237946.2019999996</v>
      </c>
      <c r="AV150" s="544" t="s">
        <v>881</v>
      </c>
      <c r="AW150" s="545">
        <v>192052970000</v>
      </c>
      <c r="AX150" s="545">
        <v>1003570000</v>
      </c>
      <c r="AY150" s="545">
        <v>1080957000</v>
      </c>
      <c r="AZ150" s="545">
        <v>190972013000</v>
      </c>
      <c r="BA150" s="546">
        <f t="shared" si="156"/>
        <v>192052970</v>
      </c>
      <c r="BB150" s="546">
        <f t="shared" si="157"/>
        <v>1003570</v>
      </c>
      <c r="BC150" s="546">
        <f t="shared" si="158"/>
        <v>1080957</v>
      </c>
      <c r="BD150" s="546">
        <f t="shared" si="159"/>
        <v>190972013</v>
      </c>
      <c r="BK150" s="544" t="s">
        <v>401</v>
      </c>
      <c r="BL150" s="545">
        <v>221345000</v>
      </c>
      <c r="BM150" s="545">
        <v>18450100</v>
      </c>
      <c r="BN150" s="545">
        <v>39845915</v>
      </c>
      <c r="BO150" s="545">
        <v>181499085</v>
      </c>
      <c r="BP150" s="545">
        <f t="shared" si="198"/>
        <v>221345</v>
      </c>
      <c r="BQ150" s="545">
        <f t="shared" si="199"/>
        <v>18450.099999999999</v>
      </c>
      <c r="BR150" s="545">
        <f t="shared" si="200"/>
        <v>39845.915000000001</v>
      </c>
      <c r="BS150" s="545">
        <f t="shared" si="201"/>
        <v>181499.08499999999</v>
      </c>
      <c r="BZ150" s="544" t="s">
        <v>401</v>
      </c>
      <c r="CA150" s="545">
        <v>221345000</v>
      </c>
      <c r="CB150" s="545">
        <v>20942425</v>
      </c>
      <c r="CC150" s="545">
        <v>53045915</v>
      </c>
      <c r="CD150" s="545">
        <v>168299085</v>
      </c>
      <c r="CE150" s="545">
        <f t="shared" si="196"/>
        <v>221345</v>
      </c>
      <c r="CF150" s="545">
        <f t="shared" si="202"/>
        <v>20942.424999999999</v>
      </c>
      <c r="CG150" s="545">
        <f t="shared" si="203"/>
        <v>53045.915000000001</v>
      </c>
      <c r="CH150" s="545">
        <f t="shared" si="204"/>
        <v>168299.08499999999</v>
      </c>
      <c r="CP150" s="547" t="s">
        <v>582</v>
      </c>
      <c r="CQ150" s="546">
        <v>132200375</v>
      </c>
      <c r="CR150" s="546">
        <v>11120800</v>
      </c>
      <c r="CS150" s="546">
        <v>40584290</v>
      </c>
      <c r="CT150" s="546">
        <v>91616085</v>
      </c>
      <c r="CU150" s="546">
        <f t="shared" si="140"/>
        <v>132200.375</v>
      </c>
      <c r="CV150" s="546">
        <f t="shared" si="141"/>
        <v>11120.8</v>
      </c>
      <c r="CW150" s="546">
        <f t="shared" si="142"/>
        <v>40584.29</v>
      </c>
      <c r="CX150" s="546">
        <f t="shared" si="143"/>
        <v>91616.085000000006</v>
      </c>
      <c r="DE150" s="544" t="s">
        <v>401</v>
      </c>
      <c r="DF150" s="545">
        <v>221345000</v>
      </c>
      <c r="DG150" s="545">
        <v>42485916</v>
      </c>
      <c r="DH150" s="545">
        <v>53046915</v>
      </c>
      <c r="DI150" s="545">
        <v>168298085</v>
      </c>
      <c r="DJ150" s="546">
        <f t="shared" si="168"/>
        <v>221345</v>
      </c>
      <c r="DK150" s="546">
        <f t="shared" si="169"/>
        <v>42485.915999999997</v>
      </c>
      <c r="DL150" s="546">
        <f t="shared" si="170"/>
        <v>53046.915000000001</v>
      </c>
      <c r="DM150" s="546">
        <f t="shared" si="171"/>
        <v>168298.08499999999</v>
      </c>
      <c r="DT150" s="544" t="s">
        <v>936</v>
      </c>
      <c r="DU150" s="545">
        <v>38551375</v>
      </c>
      <c r="DV150" s="545">
        <v>35499999</v>
      </c>
      <c r="DW150" s="545">
        <v>35500000</v>
      </c>
      <c r="DX150" s="545">
        <v>3051375</v>
      </c>
      <c r="DY150" s="546">
        <f t="shared" si="205"/>
        <v>38551.375</v>
      </c>
      <c r="DZ150" s="546">
        <f t="shared" si="206"/>
        <v>35499.999000000003</v>
      </c>
      <c r="EA150" s="546">
        <f t="shared" si="207"/>
        <v>35500</v>
      </c>
      <c r="EB150" s="546">
        <f t="shared" si="208"/>
        <v>3051.375</v>
      </c>
      <c r="EI150" s="547" t="s">
        <v>580</v>
      </c>
      <c r="EJ150" s="546">
        <v>306345000</v>
      </c>
      <c r="EK150" s="546">
        <v>138205022</v>
      </c>
      <c r="EL150" s="546">
        <v>112476387</v>
      </c>
      <c r="EM150" s="548">
        <f t="shared" si="176"/>
        <v>306345</v>
      </c>
      <c r="EN150" s="548">
        <f t="shared" si="177"/>
        <v>138205.022</v>
      </c>
      <c r="EO150" s="548">
        <f t="shared" si="178"/>
        <v>112476.387</v>
      </c>
      <c r="EW150" s="544" t="s">
        <v>400</v>
      </c>
      <c r="EX150" s="545">
        <v>37449000</v>
      </c>
      <c r="EY150" s="545">
        <v>38269722</v>
      </c>
      <c r="EZ150" s="545">
        <v>38269722</v>
      </c>
      <c r="FA150" s="545">
        <v>38269722</v>
      </c>
      <c r="FB150" s="545">
        <v>0</v>
      </c>
      <c r="FC150" s="546">
        <f t="shared" si="179"/>
        <v>37449</v>
      </c>
      <c r="FD150" s="546">
        <f t="shared" si="180"/>
        <v>38269.722000000002</v>
      </c>
      <c r="FE150" s="546">
        <f t="shared" si="181"/>
        <v>38269.722000000002</v>
      </c>
      <c r="FF150" s="546">
        <f t="shared" si="182"/>
        <v>38269.722000000002</v>
      </c>
      <c r="FG150" s="546">
        <f t="shared" si="183"/>
        <v>0</v>
      </c>
      <c r="FN150" s="549" t="s">
        <v>774</v>
      </c>
      <c r="FO150" s="550">
        <v>22457000</v>
      </c>
      <c r="FP150" s="550">
        <v>22456599</v>
      </c>
      <c r="FQ150" s="550">
        <v>22456599</v>
      </c>
      <c r="FR150" s="550">
        <f t="shared" si="184"/>
        <v>22457</v>
      </c>
      <c r="FS150" s="550">
        <f t="shared" si="185"/>
        <v>22456.598999999998</v>
      </c>
      <c r="FT150" s="550">
        <f t="shared" si="186"/>
        <v>22456.598999999998</v>
      </c>
    </row>
    <row r="151" spans="1:176" ht="15" customHeight="1" x14ac:dyDescent="0.25">
      <c r="K151" s="548"/>
      <c r="T151" s="544"/>
      <c r="V151" s="545"/>
      <c r="W151" s="545"/>
      <c r="AG151" s="544" t="s">
        <v>403</v>
      </c>
      <c r="AH151" s="545">
        <v>12687731000</v>
      </c>
      <c r="AI151" s="545">
        <v>7143800375</v>
      </c>
      <c r="AJ151" s="545">
        <v>7143800375</v>
      </c>
      <c r="AK151" s="545">
        <v>5543930625</v>
      </c>
      <c r="AL151" s="545">
        <f t="shared" si="191"/>
        <v>12687731</v>
      </c>
      <c r="AM151" s="545">
        <f t="shared" si="192"/>
        <v>7143800.375</v>
      </c>
      <c r="AN151" s="545">
        <f t="shared" si="193"/>
        <v>7143800.375</v>
      </c>
      <c r="AO151" s="545">
        <f t="shared" si="194"/>
        <v>5543930.625</v>
      </c>
      <c r="AV151" s="544" t="s">
        <v>882</v>
      </c>
      <c r="AW151" s="545">
        <v>192052970000</v>
      </c>
      <c r="AX151" s="545">
        <v>1003570000</v>
      </c>
      <c r="AY151" s="545">
        <v>1080957000</v>
      </c>
      <c r="AZ151" s="545">
        <v>190972013000</v>
      </c>
      <c r="BA151" s="546">
        <f t="shared" si="156"/>
        <v>192052970</v>
      </c>
      <c r="BB151" s="546">
        <f t="shared" si="157"/>
        <v>1003570</v>
      </c>
      <c r="BC151" s="546">
        <f t="shared" si="158"/>
        <v>1080957</v>
      </c>
      <c r="BD151" s="546">
        <f t="shared" si="159"/>
        <v>190972013</v>
      </c>
      <c r="BK151" s="544" t="s">
        <v>582</v>
      </c>
      <c r="BL151" s="545">
        <v>132200375</v>
      </c>
      <c r="BM151" s="545">
        <v>8480800</v>
      </c>
      <c r="BN151" s="545">
        <v>27384290</v>
      </c>
      <c r="BO151" s="545">
        <v>104816085</v>
      </c>
      <c r="BP151" s="545">
        <f t="shared" si="198"/>
        <v>132200.375</v>
      </c>
      <c r="BQ151" s="545">
        <f t="shared" si="199"/>
        <v>8480.7999999999993</v>
      </c>
      <c r="BR151" s="545">
        <f t="shared" si="200"/>
        <v>27384.29</v>
      </c>
      <c r="BS151" s="545">
        <f t="shared" si="201"/>
        <v>104816.08500000001</v>
      </c>
      <c r="BZ151" s="544" t="s">
        <v>582</v>
      </c>
      <c r="CA151" s="545">
        <v>132200375</v>
      </c>
      <c r="CB151" s="545">
        <v>8480800</v>
      </c>
      <c r="CC151" s="545">
        <v>40584290</v>
      </c>
      <c r="CD151" s="545">
        <v>91616085</v>
      </c>
      <c r="CE151" s="545">
        <f t="shared" si="196"/>
        <v>132200.375</v>
      </c>
      <c r="CF151" s="545">
        <f t="shared" si="202"/>
        <v>8480.7999999999993</v>
      </c>
      <c r="CG151" s="545">
        <f t="shared" si="203"/>
        <v>40584.29</v>
      </c>
      <c r="CH151" s="545">
        <f t="shared" si="204"/>
        <v>91616.085000000006</v>
      </c>
      <c r="CP151" s="547" t="s">
        <v>767</v>
      </c>
      <c r="CQ151" s="546">
        <v>89144625</v>
      </c>
      <c r="CR151" s="546">
        <v>12461625</v>
      </c>
      <c r="CS151" s="546">
        <v>12461625</v>
      </c>
      <c r="CT151" s="546">
        <v>76683000</v>
      </c>
      <c r="CU151" s="546">
        <f t="shared" si="140"/>
        <v>89144.625</v>
      </c>
      <c r="CV151" s="546">
        <f t="shared" si="141"/>
        <v>12461.625</v>
      </c>
      <c r="CW151" s="546">
        <f t="shared" si="142"/>
        <v>12461.625</v>
      </c>
      <c r="CX151" s="546">
        <f t="shared" si="143"/>
        <v>76683</v>
      </c>
      <c r="DE151" s="544" t="s">
        <v>582</v>
      </c>
      <c r="DF151" s="545">
        <v>162200375</v>
      </c>
      <c r="DG151" s="545">
        <v>30024291</v>
      </c>
      <c r="DH151" s="545">
        <v>40585290</v>
      </c>
      <c r="DI151" s="545">
        <v>121615085</v>
      </c>
      <c r="DJ151" s="546">
        <f t="shared" si="168"/>
        <v>162200.375</v>
      </c>
      <c r="DK151" s="546">
        <f t="shared" si="169"/>
        <v>30024.291000000001</v>
      </c>
      <c r="DL151" s="546">
        <f t="shared" si="170"/>
        <v>40585.29</v>
      </c>
      <c r="DM151" s="546">
        <f t="shared" si="171"/>
        <v>121615.08500000001</v>
      </c>
      <c r="DT151" s="544" t="s">
        <v>401</v>
      </c>
      <c r="DU151" s="545">
        <v>221345000</v>
      </c>
      <c r="DV151" s="545">
        <v>42485916</v>
      </c>
      <c r="DW151" s="545">
        <v>53046915</v>
      </c>
      <c r="DX151" s="545">
        <v>168298085</v>
      </c>
      <c r="DY151" s="546">
        <f t="shared" si="205"/>
        <v>221345</v>
      </c>
      <c r="DZ151" s="546">
        <f t="shared" si="206"/>
        <v>42485.915999999997</v>
      </c>
      <c r="EA151" s="546">
        <f t="shared" si="207"/>
        <v>53046.915000000001</v>
      </c>
      <c r="EB151" s="546">
        <f t="shared" si="208"/>
        <v>168298.08499999999</v>
      </c>
      <c r="EI151" s="547" t="s">
        <v>774</v>
      </c>
      <c r="EJ151" s="546">
        <v>22500000</v>
      </c>
      <c r="EK151" s="546">
        <v>22456599</v>
      </c>
      <c r="EL151" s="546">
        <v>22456599</v>
      </c>
      <c r="EM151" s="548">
        <f t="shared" si="176"/>
        <v>22500</v>
      </c>
      <c r="EN151" s="548">
        <f t="shared" si="177"/>
        <v>22456.598999999998</v>
      </c>
      <c r="EO151" s="548">
        <f t="shared" si="178"/>
        <v>22456.598999999998</v>
      </c>
      <c r="EW151" s="544" t="s">
        <v>581</v>
      </c>
      <c r="EX151" s="545">
        <v>0</v>
      </c>
      <c r="EY151" s="545">
        <v>2769723</v>
      </c>
      <c r="EZ151" s="545">
        <v>2769723</v>
      </c>
      <c r="FA151" s="545">
        <v>2769723</v>
      </c>
      <c r="FB151" s="545">
        <v>0</v>
      </c>
      <c r="FC151" s="546">
        <f t="shared" si="179"/>
        <v>0</v>
      </c>
      <c r="FD151" s="546">
        <f t="shared" si="180"/>
        <v>2769.723</v>
      </c>
      <c r="FE151" s="546">
        <f t="shared" si="181"/>
        <v>2769.723</v>
      </c>
      <c r="FF151" s="546">
        <f t="shared" si="182"/>
        <v>2769.723</v>
      </c>
      <c r="FG151" s="546">
        <f t="shared" si="183"/>
        <v>0</v>
      </c>
      <c r="FN151" s="549" t="s">
        <v>831</v>
      </c>
      <c r="FO151" s="550">
        <v>16462000</v>
      </c>
      <c r="FP151" s="550">
        <v>16461165</v>
      </c>
      <c r="FQ151" s="550">
        <v>16461165</v>
      </c>
      <c r="FR151" s="550">
        <f t="shared" si="184"/>
        <v>16462</v>
      </c>
      <c r="FS151" s="550">
        <f t="shared" si="185"/>
        <v>16461.165000000001</v>
      </c>
      <c r="FT151" s="550">
        <f t="shared" si="186"/>
        <v>16461.165000000001</v>
      </c>
    </row>
    <row r="152" spans="1:176" ht="15" customHeight="1" x14ac:dyDescent="0.25">
      <c r="K152" s="548"/>
      <c r="T152" s="544"/>
      <c r="V152" s="545"/>
      <c r="W152" s="545"/>
      <c r="AG152" s="544" t="s">
        <v>404</v>
      </c>
      <c r="AH152" s="545">
        <v>12687731000</v>
      </c>
      <c r="AI152" s="545">
        <v>7143800375</v>
      </c>
      <c r="AJ152" s="545">
        <v>7143800375</v>
      </c>
      <c r="AK152" s="545">
        <v>5543930625</v>
      </c>
      <c r="AL152" s="545">
        <f t="shared" si="191"/>
        <v>12687731</v>
      </c>
      <c r="AM152" s="545">
        <f t="shared" si="192"/>
        <v>7143800.375</v>
      </c>
      <c r="AN152" s="545">
        <f t="shared" si="193"/>
        <v>7143800.375</v>
      </c>
      <c r="AO152" s="545">
        <f t="shared" si="194"/>
        <v>5543930.625</v>
      </c>
      <c r="AV152" s="544" t="s">
        <v>883</v>
      </c>
      <c r="AW152" s="545">
        <v>192052970000</v>
      </c>
      <c r="AX152" s="545">
        <v>1003570000</v>
      </c>
      <c r="AY152" s="545">
        <v>1080957000</v>
      </c>
      <c r="AZ152" s="545">
        <v>190972013000</v>
      </c>
      <c r="BA152" s="546">
        <f t="shared" si="156"/>
        <v>192052970</v>
      </c>
      <c r="BB152" s="546">
        <f t="shared" si="157"/>
        <v>1003570</v>
      </c>
      <c r="BC152" s="546">
        <f t="shared" si="158"/>
        <v>1080957</v>
      </c>
      <c r="BD152" s="546">
        <f t="shared" si="159"/>
        <v>190972013</v>
      </c>
      <c r="BK152" s="544" t="s">
        <v>767</v>
      </c>
      <c r="BL152" s="545">
        <v>89144625</v>
      </c>
      <c r="BM152" s="545">
        <v>9969300</v>
      </c>
      <c r="BN152" s="545">
        <v>12461625</v>
      </c>
      <c r="BO152" s="545">
        <v>76683000</v>
      </c>
      <c r="BP152" s="545">
        <f t="shared" si="198"/>
        <v>89144.625</v>
      </c>
      <c r="BQ152" s="545">
        <f t="shared" si="199"/>
        <v>9969.2999999999993</v>
      </c>
      <c r="BR152" s="545">
        <f t="shared" si="200"/>
        <v>12461.625</v>
      </c>
      <c r="BS152" s="545">
        <f t="shared" si="201"/>
        <v>76683</v>
      </c>
      <c r="BZ152" s="544" t="s">
        <v>767</v>
      </c>
      <c r="CA152" s="545">
        <v>89144625</v>
      </c>
      <c r="CB152" s="545">
        <v>12461625</v>
      </c>
      <c r="CC152" s="545">
        <v>12461625</v>
      </c>
      <c r="CD152" s="545">
        <v>76683000</v>
      </c>
      <c r="CE152" s="545">
        <f t="shared" si="196"/>
        <v>89144.625</v>
      </c>
      <c r="CF152" s="545">
        <f t="shared" si="202"/>
        <v>12461.625</v>
      </c>
      <c r="CG152" s="545">
        <f t="shared" si="203"/>
        <v>12461.625</v>
      </c>
      <c r="CH152" s="545">
        <f t="shared" si="204"/>
        <v>76683</v>
      </c>
      <c r="CP152" s="547" t="s">
        <v>881</v>
      </c>
      <c r="CQ152" s="546">
        <v>192052970000</v>
      </c>
      <c r="CR152" s="546">
        <v>1003570000</v>
      </c>
      <c r="CS152" s="546">
        <v>1080957000</v>
      </c>
      <c r="CT152" s="546">
        <v>190972013000</v>
      </c>
      <c r="CU152" s="546">
        <f t="shared" si="140"/>
        <v>192052970</v>
      </c>
      <c r="CV152" s="546">
        <f t="shared" si="141"/>
        <v>1003570</v>
      </c>
      <c r="CW152" s="546">
        <f t="shared" si="142"/>
        <v>1080957</v>
      </c>
      <c r="CX152" s="546">
        <f t="shared" si="143"/>
        <v>190972013</v>
      </c>
      <c r="DE152" s="544" t="s">
        <v>767</v>
      </c>
      <c r="DF152" s="545">
        <v>59144625</v>
      </c>
      <c r="DG152" s="545">
        <v>12461625</v>
      </c>
      <c r="DH152" s="545">
        <v>12461625</v>
      </c>
      <c r="DI152" s="545">
        <v>46683000</v>
      </c>
      <c r="DJ152" s="546">
        <f t="shared" si="168"/>
        <v>59144.625</v>
      </c>
      <c r="DK152" s="546">
        <f t="shared" si="169"/>
        <v>12461.625</v>
      </c>
      <c r="DL152" s="546">
        <f t="shared" si="170"/>
        <v>12461.625</v>
      </c>
      <c r="DM152" s="546">
        <f t="shared" si="171"/>
        <v>46683</v>
      </c>
      <c r="DT152" s="544" t="s">
        <v>582</v>
      </c>
      <c r="DU152" s="545">
        <v>162200375</v>
      </c>
      <c r="DV152" s="545">
        <v>30024291</v>
      </c>
      <c r="DW152" s="545">
        <v>40585290</v>
      </c>
      <c r="DX152" s="545">
        <v>121615085</v>
      </c>
      <c r="DY152" s="546">
        <f t="shared" si="205"/>
        <v>162200.375</v>
      </c>
      <c r="DZ152" s="546">
        <f t="shared" si="206"/>
        <v>30024.291000000001</v>
      </c>
      <c r="EA152" s="546">
        <f t="shared" si="207"/>
        <v>40585.29</v>
      </c>
      <c r="EB152" s="546">
        <f t="shared" si="208"/>
        <v>121615.08500000001</v>
      </c>
      <c r="EI152" s="547" t="s">
        <v>831</v>
      </c>
      <c r="EJ152" s="546">
        <v>21000000</v>
      </c>
      <c r="EK152" s="546">
        <v>16461165</v>
      </c>
      <c r="EL152" s="546">
        <v>2067030</v>
      </c>
      <c r="EM152" s="548">
        <f t="shared" si="176"/>
        <v>21000</v>
      </c>
      <c r="EN152" s="548">
        <f t="shared" si="177"/>
        <v>16461.165000000001</v>
      </c>
      <c r="EO152" s="548">
        <f t="shared" si="178"/>
        <v>2067.0300000000002</v>
      </c>
      <c r="EW152" s="544" t="s">
        <v>936</v>
      </c>
      <c r="EX152" s="545">
        <v>0</v>
      </c>
      <c r="EY152" s="545">
        <v>35499999</v>
      </c>
      <c r="EZ152" s="545">
        <v>35499999</v>
      </c>
      <c r="FA152" s="545">
        <v>35499999</v>
      </c>
      <c r="FB152" s="545">
        <v>0</v>
      </c>
      <c r="FC152" s="546">
        <f t="shared" si="179"/>
        <v>0</v>
      </c>
      <c r="FD152" s="546">
        <f t="shared" si="180"/>
        <v>35499.999000000003</v>
      </c>
      <c r="FE152" s="546">
        <f t="shared" si="181"/>
        <v>35499.999000000003</v>
      </c>
      <c r="FF152" s="546">
        <f t="shared" si="182"/>
        <v>35499.999000000003</v>
      </c>
      <c r="FG152" s="546">
        <f t="shared" si="183"/>
        <v>0</v>
      </c>
      <c r="FN152" s="549" t="s">
        <v>400</v>
      </c>
      <c r="FO152" s="550">
        <v>38271000</v>
      </c>
      <c r="FP152" s="550">
        <v>38269722</v>
      </c>
      <c r="FQ152" s="550">
        <v>38269722</v>
      </c>
      <c r="FR152" s="550">
        <f t="shared" si="184"/>
        <v>38271</v>
      </c>
      <c r="FS152" s="550">
        <f t="shared" si="185"/>
        <v>38269.722000000002</v>
      </c>
      <c r="FT152" s="550">
        <f t="shared" si="186"/>
        <v>38269.722000000002</v>
      </c>
    </row>
    <row r="153" spans="1:176" ht="15" customHeight="1" x14ac:dyDescent="0.25">
      <c r="T153" s="544"/>
      <c r="V153" s="545"/>
      <c r="W153" s="545"/>
      <c r="AG153" s="544" t="s">
        <v>405</v>
      </c>
      <c r="AH153" s="545">
        <v>2561303000</v>
      </c>
      <c r="AI153" s="545">
        <v>1781802273</v>
      </c>
      <c r="AJ153" s="545">
        <v>1781802273</v>
      </c>
      <c r="AK153" s="545">
        <v>779500727</v>
      </c>
      <c r="AL153" s="545">
        <f t="shared" si="191"/>
        <v>2561303</v>
      </c>
      <c r="AM153" s="545">
        <f t="shared" si="192"/>
        <v>1781802.273</v>
      </c>
      <c r="AN153" s="545">
        <f t="shared" si="193"/>
        <v>1781802.273</v>
      </c>
      <c r="AO153" s="545">
        <f t="shared" si="194"/>
        <v>779500.72699999996</v>
      </c>
      <c r="AV153" s="544" t="s">
        <v>402</v>
      </c>
      <c r="AW153" s="545">
        <f>15249044100+AW159-10000</f>
        <v>16334626200</v>
      </c>
      <c r="AX153" s="545">
        <f>10011097898+AX159</f>
        <v>11096593148</v>
      </c>
      <c r="AY153" s="545">
        <v>10011097898</v>
      </c>
      <c r="AZ153" s="545">
        <f>+AW153-AY153</f>
        <v>6323528302</v>
      </c>
      <c r="BA153" s="546">
        <f t="shared" si="156"/>
        <v>16334626.199999999</v>
      </c>
      <c r="BB153" s="546">
        <f t="shared" si="157"/>
        <v>11096593.148</v>
      </c>
      <c r="BC153" s="546">
        <f t="shared" si="158"/>
        <v>10011097.898</v>
      </c>
      <c r="BD153" s="546">
        <f t="shared" si="159"/>
        <v>6323528.3020000001</v>
      </c>
      <c r="BK153" s="544" t="s">
        <v>881</v>
      </c>
      <c r="BL153" s="545">
        <v>192052970000</v>
      </c>
      <c r="BM153" s="545">
        <v>1003570000</v>
      </c>
      <c r="BN153" s="545">
        <v>1080957000</v>
      </c>
      <c r="BO153" s="545">
        <v>190972013000</v>
      </c>
      <c r="BP153" s="545">
        <f t="shared" si="198"/>
        <v>192052970</v>
      </c>
      <c r="BQ153" s="545">
        <f t="shared" si="199"/>
        <v>1003570</v>
      </c>
      <c r="BR153" s="545">
        <f t="shared" si="200"/>
        <v>1080957</v>
      </c>
      <c r="BS153" s="545">
        <f t="shared" si="201"/>
        <v>190972013</v>
      </c>
      <c r="BZ153" s="544" t="s">
        <v>881</v>
      </c>
      <c r="CA153" s="545">
        <v>192052970000</v>
      </c>
      <c r="CB153" s="545">
        <v>1003570000</v>
      </c>
      <c r="CC153" s="545">
        <v>1080957000</v>
      </c>
      <c r="CD153" s="545">
        <v>190972013000</v>
      </c>
      <c r="CE153" s="545">
        <f t="shared" si="196"/>
        <v>192052970</v>
      </c>
      <c r="CF153" s="545">
        <f t="shared" si="202"/>
        <v>1003570</v>
      </c>
      <c r="CG153" s="545">
        <f t="shared" si="203"/>
        <v>1080957</v>
      </c>
      <c r="CH153" s="545">
        <f t="shared" si="204"/>
        <v>190972013</v>
      </c>
      <c r="CP153" s="547" t="s">
        <v>882</v>
      </c>
      <c r="CQ153" s="546">
        <v>192052970000</v>
      </c>
      <c r="CR153" s="546">
        <v>1003570000</v>
      </c>
      <c r="CS153" s="546">
        <v>1080957000</v>
      </c>
      <c r="CT153" s="546">
        <v>190972013000</v>
      </c>
      <c r="CU153" s="546">
        <f t="shared" si="140"/>
        <v>192052970</v>
      </c>
      <c r="CV153" s="546">
        <f t="shared" si="141"/>
        <v>1003570</v>
      </c>
      <c r="CW153" s="546">
        <f t="shared" si="142"/>
        <v>1080957</v>
      </c>
      <c r="CX153" s="546">
        <f t="shared" si="143"/>
        <v>190972013</v>
      </c>
      <c r="DE153" s="544" t="s">
        <v>881</v>
      </c>
      <c r="DF153" s="545">
        <v>192052970000</v>
      </c>
      <c r="DG153" s="545">
        <v>1003570000</v>
      </c>
      <c r="DH153" s="545">
        <v>1080957000</v>
      </c>
      <c r="DI153" s="545">
        <v>190972013000</v>
      </c>
      <c r="DJ153" s="546">
        <f t="shared" si="168"/>
        <v>192052970</v>
      </c>
      <c r="DK153" s="546">
        <f t="shared" si="169"/>
        <v>1003570</v>
      </c>
      <c r="DL153" s="546">
        <f t="shared" si="170"/>
        <v>1080957</v>
      </c>
      <c r="DM153" s="546">
        <f t="shared" si="171"/>
        <v>190972013</v>
      </c>
      <c r="DT153" s="544" t="s">
        <v>767</v>
      </c>
      <c r="DU153" s="545">
        <v>59144625</v>
      </c>
      <c r="DV153" s="545">
        <v>12461625</v>
      </c>
      <c r="DW153" s="545">
        <v>12461625</v>
      </c>
      <c r="DX153" s="545">
        <v>46683000</v>
      </c>
      <c r="DY153" s="546">
        <f t="shared" si="205"/>
        <v>59144.625</v>
      </c>
      <c r="DZ153" s="546">
        <f t="shared" si="206"/>
        <v>12461.625</v>
      </c>
      <c r="EA153" s="546">
        <f t="shared" si="207"/>
        <v>12461.625</v>
      </c>
      <c r="EB153" s="546">
        <f t="shared" si="208"/>
        <v>46683</v>
      </c>
      <c r="EI153" s="547" t="s">
        <v>400</v>
      </c>
      <c r="EJ153" s="546">
        <v>41500000</v>
      </c>
      <c r="EK153" s="546">
        <v>38269723</v>
      </c>
      <c r="EL153" s="546">
        <v>38269722</v>
      </c>
      <c r="EM153" s="548">
        <f t="shared" si="176"/>
        <v>41500</v>
      </c>
      <c r="EN153" s="548">
        <f t="shared" si="177"/>
        <v>38269.722999999998</v>
      </c>
      <c r="EO153" s="548">
        <f t="shared" si="178"/>
        <v>38269.722000000002</v>
      </c>
      <c r="EW153" s="544" t="s">
        <v>401</v>
      </c>
      <c r="EX153" s="545">
        <v>198738000</v>
      </c>
      <c r="EY153" s="545">
        <v>198738000</v>
      </c>
      <c r="EZ153" s="545">
        <v>138642521</v>
      </c>
      <c r="FA153" s="545">
        <v>149202521</v>
      </c>
      <c r="FB153" s="545">
        <v>49535479</v>
      </c>
      <c r="FC153" s="546">
        <f t="shared" si="179"/>
        <v>198738</v>
      </c>
      <c r="FD153" s="546">
        <f t="shared" si="180"/>
        <v>198738</v>
      </c>
      <c r="FE153" s="546">
        <f t="shared" si="181"/>
        <v>138642.52100000001</v>
      </c>
      <c r="FF153" s="546">
        <f t="shared" si="182"/>
        <v>149202.52100000001</v>
      </c>
      <c r="FG153" s="546">
        <f t="shared" si="183"/>
        <v>49535.478999999999</v>
      </c>
      <c r="FN153" s="549" t="s">
        <v>581</v>
      </c>
      <c r="FO153" s="550">
        <v>2771001</v>
      </c>
      <c r="FP153" s="550">
        <v>2769723</v>
      </c>
      <c r="FQ153" s="550">
        <v>2769723</v>
      </c>
      <c r="FR153" s="550">
        <f t="shared" si="184"/>
        <v>2771.0010000000002</v>
      </c>
      <c r="FS153" s="550">
        <f t="shared" si="185"/>
        <v>2769.723</v>
      </c>
      <c r="FT153" s="550">
        <f t="shared" si="186"/>
        <v>2769.723</v>
      </c>
    </row>
    <row r="154" spans="1:176" ht="15" customHeight="1" x14ac:dyDescent="0.25">
      <c r="T154" s="544"/>
      <c r="V154" s="545"/>
      <c r="W154" s="545"/>
      <c r="AG154" s="544" t="s">
        <v>406</v>
      </c>
      <c r="AH154" s="545">
        <v>2561303000</v>
      </c>
      <c r="AI154" s="545">
        <v>1781802273</v>
      </c>
      <c r="AJ154" s="545">
        <v>1781802273</v>
      </c>
      <c r="AK154" s="545">
        <v>779500727</v>
      </c>
      <c r="AL154" s="545">
        <f t="shared" si="191"/>
        <v>2561303</v>
      </c>
      <c r="AM154" s="545">
        <f t="shared" si="192"/>
        <v>1781802.273</v>
      </c>
      <c r="AN154" s="545">
        <f t="shared" si="193"/>
        <v>1781802.273</v>
      </c>
      <c r="AO154" s="545">
        <f t="shared" si="194"/>
        <v>779500.72699999996</v>
      </c>
      <c r="AV154" s="544" t="s">
        <v>403</v>
      </c>
      <c r="AW154" s="545">
        <v>12687731000</v>
      </c>
      <c r="AX154" s="545">
        <v>7143800375</v>
      </c>
      <c r="AY154" s="545">
        <v>7143800375</v>
      </c>
      <c r="AZ154" s="545">
        <v>5543930625</v>
      </c>
      <c r="BA154" s="546">
        <f t="shared" si="156"/>
        <v>12687731</v>
      </c>
      <c r="BB154" s="546">
        <f t="shared" si="157"/>
        <v>7143800.375</v>
      </c>
      <c r="BC154" s="546">
        <f t="shared" si="158"/>
        <v>7143800.375</v>
      </c>
      <c r="BD154" s="546">
        <f t="shared" si="159"/>
        <v>5543930.625</v>
      </c>
      <c r="BK154" s="544" t="s">
        <v>882</v>
      </c>
      <c r="BL154" s="545">
        <v>192052970000</v>
      </c>
      <c r="BM154" s="545">
        <v>1003570000</v>
      </c>
      <c r="BN154" s="545">
        <v>1080957000</v>
      </c>
      <c r="BO154" s="545">
        <v>190972013000</v>
      </c>
      <c r="BP154" s="545">
        <f t="shared" si="198"/>
        <v>192052970</v>
      </c>
      <c r="BQ154" s="545">
        <f t="shared" si="199"/>
        <v>1003570</v>
      </c>
      <c r="BR154" s="545">
        <f t="shared" si="200"/>
        <v>1080957</v>
      </c>
      <c r="BS154" s="545">
        <f t="shared" si="201"/>
        <v>190972013</v>
      </c>
      <c r="BZ154" s="544" t="s">
        <v>882</v>
      </c>
      <c r="CA154" s="545">
        <v>192052970000</v>
      </c>
      <c r="CB154" s="545">
        <v>1003570000</v>
      </c>
      <c r="CC154" s="545">
        <v>1080957000</v>
      </c>
      <c r="CD154" s="545">
        <v>190972013000</v>
      </c>
      <c r="CE154" s="545">
        <f t="shared" si="196"/>
        <v>192052970</v>
      </c>
      <c r="CF154" s="545">
        <f t="shared" si="202"/>
        <v>1003570</v>
      </c>
      <c r="CG154" s="545">
        <f t="shared" si="203"/>
        <v>1080957</v>
      </c>
      <c r="CH154" s="545">
        <f t="shared" si="204"/>
        <v>190972013</v>
      </c>
      <c r="CP154" s="547" t="s">
        <v>883</v>
      </c>
      <c r="CQ154" s="546">
        <v>192052970000</v>
      </c>
      <c r="CR154" s="546">
        <v>1003570000</v>
      </c>
      <c r="CS154" s="546">
        <v>1080957000</v>
      </c>
      <c r="CT154" s="546">
        <v>190972013000</v>
      </c>
      <c r="CU154" s="546">
        <f t="shared" si="140"/>
        <v>192052970</v>
      </c>
      <c r="CV154" s="546">
        <f t="shared" si="141"/>
        <v>1003570</v>
      </c>
      <c r="CW154" s="546">
        <f t="shared" si="142"/>
        <v>1080957</v>
      </c>
      <c r="CX154" s="546">
        <f t="shared" si="143"/>
        <v>190972013</v>
      </c>
      <c r="DE154" s="544" t="s">
        <v>882</v>
      </c>
      <c r="DF154" s="545">
        <v>192052970000</v>
      </c>
      <c r="DG154" s="545">
        <v>1003570000</v>
      </c>
      <c r="DH154" s="545">
        <v>1080957000</v>
      </c>
      <c r="DI154" s="545">
        <v>190972013000</v>
      </c>
      <c r="DJ154" s="546">
        <f t="shared" si="168"/>
        <v>192052970</v>
      </c>
      <c r="DK154" s="546">
        <f t="shared" si="169"/>
        <v>1003570</v>
      </c>
      <c r="DL154" s="546">
        <f t="shared" si="170"/>
        <v>1080957</v>
      </c>
      <c r="DM154" s="546">
        <f t="shared" si="171"/>
        <v>190972013</v>
      </c>
      <c r="DT154" s="544" t="s">
        <v>881</v>
      </c>
      <c r="DU154" s="545">
        <v>192052970000</v>
      </c>
      <c r="DV154" s="545">
        <v>2721273457</v>
      </c>
      <c r="DW154" s="545">
        <v>2798660457</v>
      </c>
      <c r="DX154" s="545">
        <v>189254309543</v>
      </c>
      <c r="DY154" s="546">
        <f t="shared" si="205"/>
        <v>192052970</v>
      </c>
      <c r="DZ154" s="546">
        <f t="shared" si="206"/>
        <v>2721273.4569999999</v>
      </c>
      <c r="EA154" s="546">
        <f t="shared" si="207"/>
        <v>2798660.4569999999</v>
      </c>
      <c r="EB154" s="546">
        <f t="shared" si="208"/>
        <v>189254309.54300001</v>
      </c>
      <c r="EI154" s="547" t="s">
        <v>581</v>
      </c>
      <c r="EJ154" s="546">
        <v>2948625</v>
      </c>
      <c r="EK154" s="546">
        <v>2769723</v>
      </c>
      <c r="EL154" s="546">
        <v>2769723</v>
      </c>
      <c r="EM154" s="548">
        <f t="shared" si="176"/>
        <v>2948.625</v>
      </c>
      <c r="EN154" s="548">
        <f t="shared" si="177"/>
        <v>2769.723</v>
      </c>
      <c r="EO154" s="548">
        <f t="shared" si="178"/>
        <v>2769.723</v>
      </c>
      <c r="EW154" s="544" t="s">
        <v>582</v>
      </c>
      <c r="EX154" s="545">
        <v>0</v>
      </c>
      <c r="EY154" s="545">
        <v>186276375</v>
      </c>
      <c r="EZ154" s="545">
        <v>126180896</v>
      </c>
      <c r="FA154" s="545">
        <v>136740896</v>
      </c>
      <c r="FB154" s="545">
        <v>49535479</v>
      </c>
      <c r="FC154" s="546">
        <f t="shared" si="179"/>
        <v>0</v>
      </c>
      <c r="FD154" s="546">
        <f t="shared" si="180"/>
        <v>186276.375</v>
      </c>
      <c r="FE154" s="546">
        <f t="shared" si="181"/>
        <v>126180.89599999999</v>
      </c>
      <c r="FF154" s="546">
        <f t="shared" si="182"/>
        <v>136740.89600000001</v>
      </c>
      <c r="FG154" s="546">
        <f t="shared" si="183"/>
        <v>49535.478999999999</v>
      </c>
      <c r="FN154" s="549" t="s">
        <v>936</v>
      </c>
      <c r="FO154" s="550">
        <v>35499999</v>
      </c>
      <c r="FP154" s="550">
        <v>35499999</v>
      </c>
      <c r="FQ154" s="550">
        <v>35499999</v>
      </c>
      <c r="FR154" s="550">
        <f t="shared" si="184"/>
        <v>35499.999000000003</v>
      </c>
      <c r="FS154" s="550">
        <f t="shared" si="185"/>
        <v>35499.999000000003</v>
      </c>
      <c r="FT154" s="550">
        <f t="shared" si="186"/>
        <v>35499.999000000003</v>
      </c>
    </row>
    <row r="155" spans="1:176" ht="15" customHeight="1" x14ac:dyDescent="0.25">
      <c r="T155" s="544"/>
      <c r="V155" s="545"/>
      <c r="W155" s="545"/>
      <c r="AG155" s="544" t="s">
        <v>583</v>
      </c>
      <c r="AH155" s="545">
        <v>2561303000</v>
      </c>
      <c r="AI155" s="545">
        <v>1781802273</v>
      </c>
      <c r="AJ155" s="545">
        <v>1781802273</v>
      </c>
      <c r="AK155" s="545">
        <v>779500727</v>
      </c>
      <c r="AL155" s="545">
        <f t="shared" si="191"/>
        <v>2561303</v>
      </c>
      <c r="AM155" s="545">
        <f t="shared" si="192"/>
        <v>1781802.273</v>
      </c>
      <c r="AN155" s="545">
        <f t="shared" si="193"/>
        <v>1781802.273</v>
      </c>
      <c r="AO155" s="545">
        <f t="shared" si="194"/>
        <v>779500.72699999996</v>
      </c>
      <c r="AV155" s="544" t="s">
        <v>404</v>
      </c>
      <c r="AW155" s="545">
        <v>12687731000</v>
      </c>
      <c r="AX155" s="545">
        <v>7143800375</v>
      </c>
      <c r="AY155" s="545">
        <v>7143800375</v>
      </c>
      <c r="AZ155" s="545">
        <v>5543930625</v>
      </c>
      <c r="BA155" s="546">
        <f t="shared" si="156"/>
        <v>12687731</v>
      </c>
      <c r="BB155" s="546">
        <f t="shared" si="157"/>
        <v>7143800.375</v>
      </c>
      <c r="BC155" s="546">
        <f t="shared" si="158"/>
        <v>7143800.375</v>
      </c>
      <c r="BD155" s="546">
        <f t="shared" si="159"/>
        <v>5543930.625</v>
      </c>
      <c r="BK155" s="544" t="s">
        <v>883</v>
      </c>
      <c r="BL155" s="545">
        <v>192052970000</v>
      </c>
      <c r="BM155" s="545">
        <v>1003570000</v>
      </c>
      <c r="BN155" s="545">
        <v>1080957000</v>
      </c>
      <c r="BO155" s="545">
        <v>190972013000</v>
      </c>
      <c r="BP155" s="545">
        <f t="shared" si="198"/>
        <v>192052970</v>
      </c>
      <c r="BQ155" s="545">
        <f t="shared" si="199"/>
        <v>1003570</v>
      </c>
      <c r="BR155" s="545">
        <f t="shared" si="200"/>
        <v>1080957</v>
      </c>
      <c r="BS155" s="545">
        <f t="shared" si="201"/>
        <v>190972013</v>
      </c>
      <c r="BZ155" s="544" t="s">
        <v>883</v>
      </c>
      <c r="CA155" s="545">
        <v>192052970000</v>
      </c>
      <c r="CB155" s="545">
        <v>1003570000</v>
      </c>
      <c r="CC155" s="545">
        <v>1080957000</v>
      </c>
      <c r="CD155" s="545">
        <v>190972013000</v>
      </c>
      <c r="CE155" s="545">
        <f t="shared" si="196"/>
        <v>192052970</v>
      </c>
      <c r="CF155" s="545">
        <f t="shared" si="202"/>
        <v>1003570</v>
      </c>
      <c r="CG155" s="545">
        <f t="shared" si="203"/>
        <v>1080957</v>
      </c>
      <c r="CH155" s="545">
        <f t="shared" si="204"/>
        <v>190972013</v>
      </c>
      <c r="CP155" s="547" t="s">
        <v>402</v>
      </c>
      <c r="CQ155" s="546">
        <v>16334626100</v>
      </c>
      <c r="CR155" s="546">
        <v>10912796774</v>
      </c>
      <c r="CS155" s="546">
        <v>10912796774</v>
      </c>
      <c r="CT155" s="546">
        <v>5421829326</v>
      </c>
      <c r="CU155" s="546">
        <f t="shared" si="140"/>
        <v>16334626.1</v>
      </c>
      <c r="CV155" s="546">
        <f t="shared" si="141"/>
        <v>10912796.774</v>
      </c>
      <c r="CW155" s="546">
        <f t="shared" si="142"/>
        <v>10912796.774</v>
      </c>
      <c r="CX155" s="546">
        <f t="shared" si="143"/>
        <v>5421829.3260000004</v>
      </c>
      <c r="DE155" s="544" t="s">
        <v>883</v>
      </c>
      <c r="DF155" s="545">
        <v>192052970000</v>
      </c>
      <c r="DG155" s="545">
        <v>1003570000</v>
      </c>
      <c r="DH155" s="545">
        <v>1080957000</v>
      </c>
      <c r="DI155" s="545">
        <v>190972013000</v>
      </c>
      <c r="DJ155" s="546">
        <f t="shared" si="168"/>
        <v>192052970</v>
      </c>
      <c r="DK155" s="546">
        <f t="shared" si="169"/>
        <v>1003570</v>
      </c>
      <c r="DL155" s="546">
        <f t="shared" si="170"/>
        <v>1080957</v>
      </c>
      <c r="DM155" s="546">
        <f t="shared" si="171"/>
        <v>190972013</v>
      </c>
      <c r="DT155" s="544" t="s">
        <v>882</v>
      </c>
      <c r="DU155" s="545">
        <v>192052970000</v>
      </c>
      <c r="DV155" s="545">
        <v>2721273457</v>
      </c>
      <c r="DW155" s="545">
        <v>2798660457</v>
      </c>
      <c r="DX155" s="545">
        <v>189254309543</v>
      </c>
      <c r="DY155" s="546">
        <f t="shared" si="205"/>
        <v>192052970</v>
      </c>
      <c r="DZ155" s="546">
        <f t="shared" si="206"/>
        <v>2721273.4569999999</v>
      </c>
      <c r="EA155" s="546">
        <f t="shared" si="207"/>
        <v>2798660.4569999999</v>
      </c>
      <c r="EB155" s="546">
        <f t="shared" si="208"/>
        <v>189254309.54300001</v>
      </c>
      <c r="EI155" s="547" t="s">
        <v>936</v>
      </c>
      <c r="EJ155" s="546">
        <v>38551375</v>
      </c>
      <c r="EK155" s="546">
        <v>35500000</v>
      </c>
      <c r="EL155" s="546">
        <v>35499999</v>
      </c>
      <c r="EM155" s="548">
        <f t="shared" si="176"/>
        <v>38551.375</v>
      </c>
      <c r="EN155" s="548">
        <f t="shared" si="177"/>
        <v>35500</v>
      </c>
      <c r="EO155" s="548">
        <f t="shared" si="178"/>
        <v>35499.999000000003</v>
      </c>
      <c r="EW155" s="544" t="s">
        <v>767</v>
      </c>
      <c r="EX155" s="545">
        <v>0</v>
      </c>
      <c r="EY155" s="545">
        <v>12461625</v>
      </c>
      <c r="EZ155" s="545">
        <v>12461625</v>
      </c>
      <c r="FA155" s="545">
        <v>12461625</v>
      </c>
      <c r="FB155" s="545">
        <v>0</v>
      </c>
      <c r="FC155" s="546">
        <f t="shared" si="179"/>
        <v>0</v>
      </c>
      <c r="FD155" s="546">
        <f t="shared" si="180"/>
        <v>12461.625</v>
      </c>
      <c r="FE155" s="546">
        <f t="shared" si="181"/>
        <v>12461.625</v>
      </c>
      <c r="FF155" s="546">
        <f t="shared" si="182"/>
        <v>12461.625</v>
      </c>
      <c r="FG155" s="546">
        <f t="shared" si="183"/>
        <v>0</v>
      </c>
      <c r="FN155" s="549" t="s">
        <v>401</v>
      </c>
      <c r="FO155" s="550">
        <v>198738000</v>
      </c>
      <c r="FP155" s="550">
        <v>184221541</v>
      </c>
      <c r="FQ155" s="550">
        <v>190821541</v>
      </c>
      <c r="FR155" s="550">
        <f t="shared" si="184"/>
        <v>198738</v>
      </c>
      <c r="FS155" s="550">
        <f t="shared" si="185"/>
        <v>184221.541</v>
      </c>
      <c r="FT155" s="550">
        <f t="shared" si="186"/>
        <v>190821.541</v>
      </c>
    </row>
    <row r="156" spans="1:176" ht="15" customHeight="1" x14ac:dyDescent="0.25">
      <c r="T156" s="544"/>
      <c r="V156" s="545"/>
      <c r="W156" s="545"/>
      <c r="AG156" s="544" t="s">
        <v>407</v>
      </c>
      <c r="AH156" s="545">
        <v>10100</v>
      </c>
      <c r="AI156" s="545">
        <v>1085495250</v>
      </c>
      <c r="AJ156" s="545">
        <v>1085495250</v>
      </c>
      <c r="AK156" s="545">
        <v>-1085485150</v>
      </c>
      <c r="AL156" s="545">
        <f t="shared" si="191"/>
        <v>10.1</v>
      </c>
      <c r="AM156" s="545">
        <f t="shared" si="192"/>
        <v>1085495.25</v>
      </c>
      <c r="AN156" s="545">
        <f t="shared" si="193"/>
        <v>1085495.25</v>
      </c>
      <c r="AO156" s="545">
        <f t="shared" si="194"/>
        <v>-1085485.1499999999</v>
      </c>
      <c r="AV156" s="544" t="s">
        <v>405</v>
      </c>
      <c r="AW156" s="545">
        <v>2561303000</v>
      </c>
      <c r="AX156" s="545">
        <v>1781802273</v>
      </c>
      <c r="AY156" s="545">
        <v>1781802273</v>
      </c>
      <c r="AZ156" s="545">
        <v>779500727</v>
      </c>
      <c r="BA156" s="546">
        <f t="shared" si="156"/>
        <v>2561303</v>
      </c>
      <c r="BB156" s="546">
        <f t="shared" si="157"/>
        <v>1781802.273</v>
      </c>
      <c r="BC156" s="546">
        <f t="shared" si="158"/>
        <v>1781802.273</v>
      </c>
      <c r="BD156" s="546">
        <f t="shared" si="159"/>
        <v>779500.72699999996</v>
      </c>
      <c r="BK156" s="544" t="s">
        <v>402</v>
      </c>
      <c r="BL156" s="545">
        <v>16334626100</v>
      </c>
      <c r="BM156" s="545">
        <v>10011097898</v>
      </c>
      <c r="BN156" s="545">
        <v>10011097898</v>
      </c>
      <c r="BO156" s="545">
        <v>6323528202</v>
      </c>
      <c r="BP156" s="545">
        <f t="shared" si="198"/>
        <v>16334626.1</v>
      </c>
      <c r="BQ156" s="545">
        <f t="shared" si="199"/>
        <v>10011097.898</v>
      </c>
      <c r="BR156" s="545">
        <f t="shared" si="200"/>
        <v>10011097.898</v>
      </c>
      <c r="BS156" s="545">
        <f t="shared" si="201"/>
        <v>6323528.2019999996</v>
      </c>
      <c r="BZ156" s="544" t="s">
        <v>402</v>
      </c>
      <c r="CA156" s="545">
        <v>16334626100</v>
      </c>
      <c r="CB156" s="545">
        <v>10154969458</v>
      </c>
      <c r="CC156" s="545">
        <v>10154969458</v>
      </c>
      <c r="CD156" s="545">
        <v>6179656642</v>
      </c>
      <c r="CE156" s="545">
        <f t="shared" si="196"/>
        <v>16334626.1</v>
      </c>
      <c r="CF156" s="545">
        <f t="shared" si="202"/>
        <v>10154969.458000001</v>
      </c>
      <c r="CG156" s="545">
        <f t="shared" si="203"/>
        <v>10154969.458000001</v>
      </c>
      <c r="CH156" s="545">
        <f t="shared" si="204"/>
        <v>6179656.642</v>
      </c>
      <c r="CP156" s="547" t="s">
        <v>403</v>
      </c>
      <c r="CQ156" s="546">
        <v>12687731000</v>
      </c>
      <c r="CR156" s="546">
        <v>7265998524</v>
      </c>
      <c r="CS156" s="546">
        <v>7265998524</v>
      </c>
      <c r="CT156" s="546">
        <v>5421732476</v>
      </c>
      <c r="CU156" s="546">
        <f t="shared" si="140"/>
        <v>12687731</v>
      </c>
      <c r="CV156" s="546">
        <f t="shared" si="141"/>
        <v>7265998.5240000002</v>
      </c>
      <c r="CW156" s="546">
        <f t="shared" si="142"/>
        <v>7265998.5240000002</v>
      </c>
      <c r="CX156" s="546">
        <f t="shared" si="143"/>
        <v>5421732.4759999998</v>
      </c>
      <c r="DE156" s="544" t="s">
        <v>402</v>
      </c>
      <c r="DF156" s="545">
        <v>16334626100</v>
      </c>
      <c r="DG156" s="545">
        <v>10912796774</v>
      </c>
      <c r="DH156" s="545">
        <v>10912796774</v>
      </c>
      <c r="DI156" s="545">
        <v>5421829326</v>
      </c>
      <c r="DJ156" s="546">
        <f t="shared" si="168"/>
        <v>16334626.1</v>
      </c>
      <c r="DK156" s="546">
        <f t="shared" si="169"/>
        <v>10912796.774</v>
      </c>
      <c r="DL156" s="546">
        <f t="shared" si="170"/>
        <v>10912796.774</v>
      </c>
      <c r="DM156" s="546">
        <f t="shared" si="171"/>
        <v>5421829.3260000004</v>
      </c>
      <c r="DT156" s="544" t="s">
        <v>883</v>
      </c>
      <c r="DU156" s="545">
        <v>192052970000</v>
      </c>
      <c r="DV156" s="545">
        <v>2721273457</v>
      </c>
      <c r="DW156" s="545">
        <v>2798660457</v>
      </c>
      <c r="DX156" s="545">
        <v>189254309543</v>
      </c>
      <c r="DY156" s="546">
        <f t="shared" si="205"/>
        <v>192052970</v>
      </c>
      <c r="DZ156" s="546">
        <f t="shared" si="206"/>
        <v>2721273.4569999999</v>
      </c>
      <c r="EA156" s="546">
        <f t="shared" si="207"/>
        <v>2798660.4569999999</v>
      </c>
      <c r="EB156" s="546">
        <f t="shared" si="208"/>
        <v>189254309.54300001</v>
      </c>
      <c r="EI156" s="547" t="s">
        <v>401</v>
      </c>
      <c r="EJ156" s="546">
        <v>221345000</v>
      </c>
      <c r="EK156" s="546">
        <v>61017535</v>
      </c>
      <c r="EL156" s="546">
        <v>49683036</v>
      </c>
      <c r="EM156" s="548">
        <f t="shared" si="176"/>
        <v>221345</v>
      </c>
      <c r="EN156" s="548">
        <f t="shared" si="177"/>
        <v>61017.535000000003</v>
      </c>
      <c r="EO156" s="548">
        <f t="shared" si="178"/>
        <v>49683.036</v>
      </c>
      <c r="EW156" s="544" t="s">
        <v>881</v>
      </c>
      <c r="EX156" s="545">
        <v>189551138000</v>
      </c>
      <c r="EY156" s="545">
        <v>7526940000</v>
      </c>
      <c r="EZ156" s="545">
        <v>6830660584</v>
      </c>
      <c r="FA156" s="545">
        <v>7526940000</v>
      </c>
      <c r="FB156" s="545">
        <v>0</v>
      </c>
      <c r="FC156" s="546">
        <f t="shared" si="179"/>
        <v>189551138</v>
      </c>
      <c r="FD156" s="546">
        <f t="shared" si="180"/>
        <v>7526940</v>
      </c>
      <c r="FE156" s="546">
        <f t="shared" si="181"/>
        <v>6830660.5839999998</v>
      </c>
      <c r="FF156" s="546">
        <f t="shared" si="182"/>
        <v>7526940</v>
      </c>
      <c r="FG156" s="546">
        <f t="shared" si="183"/>
        <v>0</v>
      </c>
      <c r="FN156" s="549" t="s">
        <v>582</v>
      </c>
      <c r="FO156" s="550">
        <v>186276375</v>
      </c>
      <c r="FP156" s="550">
        <v>171759916</v>
      </c>
      <c r="FQ156" s="550">
        <v>178359916</v>
      </c>
      <c r="FR156" s="550">
        <f t="shared" si="184"/>
        <v>186276.375</v>
      </c>
      <c r="FS156" s="550">
        <f t="shared" si="185"/>
        <v>171759.916</v>
      </c>
      <c r="FT156" s="550">
        <f t="shared" si="186"/>
        <v>178359.916</v>
      </c>
    </row>
    <row r="157" spans="1:176" ht="15" customHeight="1" x14ac:dyDescent="0.25">
      <c r="AV157" s="544" t="s">
        <v>406</v>
      </c>
      <c r="AW157" s="545">
        <v>2561303000</v>
      </c>
      <c r="AX157" s="545">
        <v>1781802273</v>
      </c>
      <c r="AY157" s="545">
        <v>1781802273</v>
      </c>
      <c r="AZ157" s="545">
        <v>779500727</v>
      </c>
      <c r="BA157" s="546">
        <f t="shared" si="156"/>
        <v>2561303</v>
      </c>
      <c r="BB157" s="546">
        <f t="shared" si="157"/>
        <v>1781802.273</v>
      </c>
      <c r="BC157" s="546">
        <f t="shared" si="158"/>
        <v>1781802.273</v>
      </c>
      <c r="BD157" s="546">
        <f t="shared" si="159"/>
        <v>779500.72699999996</v>
      </c>
      <c r="BK157" s="544" t="s">
        <v>403</v>
      </c>
      <c r="BL157" s="545">
        <v>12687731000</v>
      </c>
      <c r="BM157" s="545">
        <v>7143800375</v>
      </c>
      <c r="BN157" s="545">
        <v>7143800375</v>
      </c>
      <c r="BO157" s="545">
        <v>5543930625</v>
      </c>
      <c r="BP157" s="545">
        <f t="shared" si="198"/>
        <v>12687731</v>
      </c>
      <c r="BQ157" s="545">
        <f t="shared" si="199"/>
        <v>7143800.375</v>
      </c>
      <c r="BR157" s="545">
        <f t="shared" si="200"/>
        <v>7143800.375</v>
      </c>
      <c r="BS157" s="545">
        <f t="shared" si="201"/>
        <v>5543930.625</v>
      </c>
      <c r="BZ157" s="544" t="s">
        <v>403</v>
      </c>
      <c r="CA157" s="545">
        <v>12687731000</v>
      </c>
      <c r="CB157" s="545">
        <v>7265998524</v>
      </c>
      <c r="CC157" s="545">
        <v>7265998524</v>
      </c>
      <c r="CD157" s="545">
        <v>5421732476</v>
      </c>
      <c r="CE157" s="545">
        <f t="shared" si="196"/>
        <v>12687731</v>
      </c>
      <c r="CF157" s="545">
        <f t="shared" si="202"/>
        <v>7265998.5240000002</v>
      </c>
      <c r="CG157" s="545">
        <f t="shared" si="203"/>
        <v>7265998.5240000002</v>
      </c>
      <c r="CH157" s="545">
        <f t="shared" si="204"/>
        <v>5421732.4759999998</v>
      </c>
      <c r="CP157" s="547" t="s">
        <v>404</v>
      </c>
      <c r="CQ157" s="546">
        <v>12687731000</v>
      </c>
      <c r="CR157" s="546">
        <v>7265998524</v>
      </c>
      <c r="CS157" s="546">
        <v>7265998524</v>
      </c>
      <c r="CT157" s="546">
        <v>5421732476</v>
      </c>
      <c r="CU157" s="546">
        <f t="shared" si="140"/>
        <v>12687731</v>
      </c>
      <c r="CV157" s="546">
        <f t="shared" si="141"/>
        <v>7265998.5240000002</v>
      </c>
      <c r="CW157" s="546">
        <f t="shared" si="142"/>
        <v>7265998.5240000002</v>
      </c>
      <c r="CX157" s="546">
        <f t="shared" si="143"/>
        <v>5421732.4759999998</v>
      </c>
      <c r="DE157" s="544" t="s">
        <v>403</v>
      </c>
      <c r="DF157" s="545">
        <v>12687731000</v>
      </c>
      <c r="DG157" s="545">
        <v>7265998524</v>
      </c>
      <c r="DH157" s="545">
        <v>7265998524</v>
      </c>
      <c r="DI157" s="545">
        <v>5421732476</v>
      </c>
      <c r="DJ157" s="546">
        <f t="shared" si="168"/>
        <v>12687731</v>
      </c>
      <c r="DK157" s="546">
        <f t="shared" si="169"/>
        <v>7265998.5240000002</v>
      </c>
      <c r="DL157" s="546">
        <f t="shared" si="170"/>
        <v>7265998.5240000002</v>
      </c>
      <c r="DM157" s="546">
        <f t="shared" si="171"/>
        <v>5421732.4759999998</v>
      </c>
      <c r="DT157" s="544" t="s">
        <v>402</v>
      </c>
      <c r="DU157" s="545">
        <v>16334626100</v>
      </c>
      <c r="DV157" s="545">
        <v>16334529250</v>
      </c>
      <c r="DW157" s="545">
        <v>16334529250</v>
      </c>
      <c r="DX157" s="545">
        <v>96850</v>
      </c>
      <c r="DY157" s="546">
        <f t="shared" si="205"/>
        <v>16334626.1</v>
      </c>
      <c r="DZ157" s="546">
        <f t="shared" si="206"/>
        <v>16334529.25</v>
      </c>
      <c r="EA157" s="546">
        <f t="shared" si="207"/>
        <v>16334529.25</v>
      </c>
      <c r="EB157" s="546">
        <f t="shared" si="208"/>
        <v>96.85</v>
      </c>
      <c r="EI157" s="547" t="s">
        <v>582</v>
      </c>
      <c r="EJ157" s="546">
        <v>208883375</v>
      </c>
      <c r="EK157" s="546">
        <v>48555910</v>
      </c>
      <c r="EL157" s="546">
        <v>37221411</v>
      </c>
      <c r="EM157" s="548">
        <f t="shared" si="176"/>
        <v>208883.375</v>
      </c>
      <c r="EN157" s="548">
        <f t="shared" si="177"/>
        <v>48555.91</v>
      </c>
      <c r="EO157" s="548">
        <f t="shared" si="178"/>
        <v>37221.411</v>
      </c>
      <c r="EW157" s="544" t="s">
        <v>882</v>
      </c>
      <c r="EX157" s="545">
        <v>189551138000</v>
      </c>
      <c r="EY157" s="545">
        <v>7526940000</v>
      </c>
      <c r="EZ157" s="545">
        <v>6830660584</v>
      </c>
      <c r="FA157" s="545">
        <v>7526940000</v>
      </c>
      <c r="FB157" s="545">
        <v>0</v>
      </c>
      <c r="FC157" s="546">
        <f t="shared" si="179"/>
        <v>189551138</v>
      </c>
      <c r="FD157" s="546">
        <f t="shared" si="180"/>
        <v>7526940</v>
      </c>
      <c r="FE157" s="546">
        <f t="shared" si="181"/>
        <v>6830660.5839999998</v>
      </c>
      <c r="FF157" s="546">
        <f t="shared" si="182"/>
        <v>7526940</v>
      </c>
      <c r="FG157" s="546">
        <f t="shared" si="183"/>
        <v>0</v>
      </c>
      <c r="FN157" s="549" t="s">
        <v>767</v>
      </c>
      <c r="FO157" s="550">
        <v>12461625</v>
      </c>
      <c r="FP157" s="550">
        <v>12461625</v>
      </c>
      <c r="FQ157" s="550">
        <v>12461625</v>
      </c>
      <c r="FR157" s="550">
        <f t="shared" si="184"/>
        <v>12461.625</v>
      </c>
      <c r="FS157" s="550">
        <f t="shared" si="185"/>
        <v>12461.625</v>
      </c>
      <c r="FT157" s="550">
        <f t="shared" si="186"/>
        <v>12461.625</v>
      </c>
    </row>
    <row r="158" spans="1:176" ht="15" customHeight="1" x14ac:dyDescent="0.25">
      <c r="AV158" s="544" t="s">
        <v>583</v>
      </c>
      <c r="AW158" s="545">
        <v>2561303000</v>
      </c>
      <c r="AX158" s="545">
        <v>1781802273</v>
      </c>
      <c r="AY158" s="545">
        <v>1781802273</v>
      </c>
      <c r="AZ158" s="545">
        <v>779500727</v>
      </c>
      <c r="BA158" s="546">
        <f t="shared" si="156"/>
        <v>2561303</v>
      </c>
      <c r="BB158" s="546">
        <f t="shared" si="157"/>
        <v>1781802.273</v>
      </c>
      <c r="BC158" s="546">
        <f t="shared" si="158"/>
        <v>1781802.273</v>
      </c>
      <c r="BD158" s="546">
        <f t="shared" si="159"/>
        <v>779500.72699999996</v>
      </c>
      <c r="BK158" s="544" t="s">
        <v>404</v>
      </c>
      <c r="BL158" s="545">
        <v>12687731000</v>
      </c>
      <c r="BM158" s="545">
        <v>7143800375</v>
      </c>
      <c r="BN158" s="545">
        <v>7143800375</v>
      </c>
      <c r="BO158" s="545">
        <v>5543930625</v>
      </c>
      <c r="BP158" s="545">
        <f t="shared" si="198"/>
        <v>12687731</v>
      </c>
      <c r="BQ158" s="545">
        <f t="shared" si="199"/>
        <v>7143800.375</v>
      </c>
      <c r="BR158" s="545">
        <f t="shared" si="200"/>
        <v>7143800.375</v>
      </c>
      <c r="BS158" s="545">
        <f t="shared" si="201"/>
        <v>5543930.625</v>
      </c>
      <c r="BZ158" s="544" t="s">
        <v>404</v>
      </c>
      <c r="CA158" s="545">
        <v>12687731000</v>
      </c>
      <c r="CB158" s="545">
        <v>7265998524</v>
      </c>
      <c r="CC158" s="545">
        <v>7265998524</v>
      </c>
      <c r="CD158" s="545">
        <v>5421732476</v>
      </c>
      <c r="CE158" s="545">
        <f t="shared" si="196"/>
        <v>12687731</v>
      </c>
      <c r="CF158" s="545">
        <f t="shared" si="202"/>
        <v>7265998.5240000002</v>
      </c>
      <c r="CG158" s="545">
        <f t="shared" si="203"/>
        <v>7265998.5240000002</v>
      </c>
      <c r="CH158" s="545">
        <f t="shared" si="204"/>
        <v>5421732.4759999998</v>
      </c>
      <c r="CP158" s="547" t="s">
        <v>405</v>
      </c>
      <c r="CQ158" s="546">
        <v>2561303000</v>
      </c>
      <c r="CR158" s="546">
        <v>2561303000</v>
      </c>
      <c r="CS158" s="546">
        <v>2561303000</v>
      </c>
      <c r="CT158" s="546">
        <v>0</v>
      </c>
      <c r="CU158" s="546">
        <f t="shared" si="140"/>
        <v>2561303</v>
      </c>
      <c r="CV158" s="546">
        <f t="shared" si="141"/>
        <v>2561303</v>
      </c>
      <c r="CW158" s="546">
        <f t="shared" si="142"/>
        <v>2561303</v>
      </c>
      <c r="CX158" s="546">
        <f t="shared" si="143"/>
        <v>0</v>
      </c>
      <c r="DE158" s="544" t="s">
        <v>404</v>
      </c>
      <c r="DF158" s="545">
        <v>12687731000</v>
      </c>
      <c r="DG158" s="545">
        <v>7265998524</v>
      </c>
      <c r="DH158" s="545">
        <v>7265998524</v>
      </c>
      <c r="DI158" s="545">
        <v>5421732476</v>
      </c>
      <c r="DJ158" s="546">
        <f t="shared" si="168"/>
        <v>12687731</v>
      </c>
      <c r="DK158" s="546">
        <f t="shared" si="169"/>
        <v>7265998.5240000002</v>
      </c>
      <c r="DL158" s="546">
        <f t="shared" si="170"/>
        <v>7265998.5240000002</v>
      </c>
      <c r="DM158" s="546">
        <f t="shared" si="171"/>
        <v>5421732.4759999998</v>
      </c>
      <c r="DT158" s="544" t="s">
        <v>403</v>
      </c>
      <c r="DU158" s="545">
        <v>12687731000</v>
      </c>
      <c r="DV158" s="545">
        <v>12687731000</v>
      </c>
      <c r="DW158" s="545">
        <v>12687731000</v>
      </c>
      <c r="DX158" s="545">
        <v>0</v>
      </c>
      <c r="DY158" s="546">
        <f t="shared" si="205"/>
        <v>12687731</v>
      </c>
      <c r="DZ158" s="546">
        <f t="shared" si="206"/>
        <v>12687731</v>
      </c>
      <c r="EA158" s="546">
        <f t="shared" si="207"/>
        <v>12687731</v>
      </c>
      <c r="EB158" s="546">
        <f t="shared" si="208"/>
        <v>0</v>
      </c>
      <c r="EI158" s="547" t="s">
        <v>767</v>
      </c>
      <c r="EJ158" s="546">
        <v>12461625</v>
      </c>
      <c r="EK158" s="546">
        <v>12461625</v>
      </c>
      <c r="EL158" s="546">
        <v>12461625</v>
      </c>
      <c r="EM158" s="548">
        <f t="shared" si="176"/>
        <v>12461.625</v>
      </c>
      <c r="EN158" s="548">
        <f t="shared" si="177"/>
        <v>12461.625</v>
      </c>
      <c r="EO158" s="548">
        <f t="shared" si="178"/>
        <v>12461.625</v>
      </c>
      <c r="EW158" s="544" t="s">
        <v>883</v>
      </c>
      <c r="EX158" s="545">
        <v>189551138000</v>
      </c>
      <c r="EY158" s="545">
        <v>7526940000</v>
      </c>
      <c r="EZ158" s="545">
        <v>6830660584</v>
      </c>
      <c r="FA158" s="545">
        <v>7526940000</v>
      </c>
      <c r="FB158" s="545">
        <v>0</v>
      </c>
      <c r="FC158" s="546">
        <f t="shared" si="179"/>
        <v>189551138</v>
      </c>
      <c r="FD158" s="546">
        <f t="shared" si="180"/>
        <v>7526940</v>
      </c>
      <c r="FE158" s="546">
        <f t="shared" si="181"/>
        <v>6830660.5839999998</v>
      </c>
      <c r="FF158" s="546">
        <f t="shared" si="182"/>
        <v>7526940</v>
      </c>
      <c r="FG158" s="546">
        <f t="shared" si="183"/>
        <v>0</v>
      </c>
      <c r="FN158" s="549" t="s">
        <v>881</v>
      </c>
      <c r="FO158" s="550">
        <v>7449553000</v>
      </c>
      <c r="FP158" s="550">
        <v>7449553000</v>
      </c>
      <c r="FQ158" s="550">
        <v>7449553000</v>
      </c>
      <c r="FR158" s="550">
        <f t="shared" si="184"/>
        <v>7449553</v>
      </c>
      <c r="FS158" s="550">
        <f t="shared" si="185"/>
        <v>7449553</v>
      </c>
      <c r="FT158" s="550">
        <f t="shared" si="186"/>
        <v>7449553</v>
      </c>
    </row>
    <row r="159" spans="1:176" ht="15" customHeight="1" x14ac:dyDescent="0.25">
      <c r="AK159" s="545"/>
      <c r="AL159" s="545"/>
      <c r="AM159" s="545"/>
      <c r="AN159" s="545"/>
      <c r="AO159" s="545"/>
      <c r="AV159" s="544" t="s">
        <v>407</v>
      </c>
      <c r="AW159" s="545">
        <f>10100+1085582000</f>
        <v>1085592100</v>
      </c>
      <c r="AX159" s="545">
        <v>1085495250</v>
      </c>
      <c r="AY159" s="545">
        <v>1085495250</v>
      </c>
      <c r="AZ159" s="545">
        <f>+AW159-AY159</f>
        <v>96850</v>
      </c>
      <c r="BA159" s="546">
        <f t="shared" si="156"/>
        <v>1085592.1000000001</v>
      </c>
      <c r="BB159" s="546">
        <f t="shared" si="157"/>
        <v>1085495.25</v>
      </c>
      <c r="BC159" s="546">
        <f t="shared" si="158"/>
        <v>1085495.25</v>
      </c>
      <c r="BD159" s="546">
        <f t="shared" si="159"/>
        <v>96.85</v>
      </c>
      <c r="BK159" s="544" t="s">
        <v>405</v>
      </c>
      <c r="BL159" s="545">
        <v>2561303000</v>
      </c>
      <c r="BM159" s="545">
        <v>1781802273</v>
      </c>
      <c r="BN159" s="545">
        <v>1781802273</v>
      </c>
      <c r="BO159" s="545">
        <v>779500727</v>
      </c>
      <c r="BP159" s="545">
        <f t="shared" si="198"/>
        <v>2561303</v>
      </c>
      <c r="BQ159" s="545">
        <f t="shared" si="199"/>
        <v>1781802.273</v>
      </c>
      <c r="BR159" s="545">
        <f t="shared" si="200"/>
        <v>1781802.273</v>
      </c>
      <c r="BS159" s="545">
        <f t="shared" si="201"/>
        <v>779500.72699999996</v>
      </c>
      <c r="BZ159" s="544" t="s">
        <v>405</v>
      </c>
      <c r="CA159" s="545">
        <v>2561303000</v>
      </c>
      <c r="CB159" s="545">
        <v>1803475684</v>
      </c>
      <c r="CC159" s="545">
        <v>1803475684</v>
      </c>
      <c r="CD159" s="545">
        <v>757827316</v>
      </c>
      <c r="CE159" s="545">
        <f t="shared" si="196"/>
        <v>2561303</v>
      </c>
      <c r="CF159" s="545">
        <f t="shared" si="202"/>
        <v>1803475.6839999999</v>
      </c>
      <c r="CG159" s="545">
        <f t="shared" si="203"/>
        <v>1803475.6839999999</v>
      </c>
      <c r="CH159" s="545">
        <f t="shared" si="204"/>
        <v>757827.31599999999</v>
      </c>
      <c r="CP159" s="547" t="s">
        <v>406</v>
      </c>
      <c r="CQ159" s="546">
        <v>2561303000</v>
      </c>
      <c r="CR159" s="546">
        <v>2561303000</v>
      </c>
      <c r="CS159" s="546">
        <v>2561303000</v>
      </c>
      <c r="CT159" s="546">
        <v>0</v>
      </c>
      <c r="CU159" s="546">
        <f t="shared" si="140"/>
        <v>2561303</v>
      </c>
      <c r="CV159" s="546">
        <f t="shared" si="141"/>
        <v>2561303</v>
      </c>
      <c r="CW159" s="546">
        <f t="shared" si="142"/>
        <v>2561303</v>
      </c>
      <c r="CX159" s="546">
        <f t="shared" si="143"/>
        <v>0</v>
      </c>
      <c r="DE159" s="544" t="s">
        <v>405</v>
      </c>
      <c r="DF159" s="545">
        <v>2561303000</v>
      </c>
      <c r="DG159" s="545">
        <v>2561303000</v>
      </c>
      <c r="DH159" s="545">
        <v>2561303000</v>
      </c>
      <c r="DI159" s="545">
        <v>0</v>
      </c>
      <c r="DJ159" s="546">
        <f t="shared" si="168"/>
        <v>2561303</v>
      </c>
      <c r="DK159" s="546">
        <f t="shared" si="169"/>
        <v>2561303</v>
      </c>
      <c r="DL159" s="546">
        <f t="shared" si="170"/>
        <v>2561303</v>
      </c>
      <c r="DM159" s="546">
        <f t="shared" si="171"/>
        <v>0</v>
      </c>
      <c r="DT159" s="544" t="s">
        <v>404</v>
      </c>
      <c r="DU159" s="545">
        <v>12687731000</v>
      </c>
      <c r="DV159" s="545">
        <v>12687731000</v>
      </c>
      <c r="DW159" s="545">
        <v>12687731000</v>
      </c>
      <c r="DX159" s="545">
        <v>0</v>
      </c>
      <c r="DY159" s="546">
        <f t="shared" si="205"/>
        <v>12687731</v>
      </c>
      <c r="DZ159" s="546">
        <f t="shared" si="206"/>
        <v>12687731</v>
      </c>
      <c r="EA159" s="546">
        <f t="shared" si="207"/>
        <v>12687731</v>
      </c>
      <c r="EB159" s="546">
        <f t="shared" si="208"/>
        <v>0</v>
      </c>
      <c r="EI159" s="547" t="s">
        <v>881</v>
      </c>
      <c r="EJ159" s="546">
        <v>192052970000</v>
      </c>
      <c r="EK159" s="546">
        <v>2798660457</v>
      </c>
      <c r="EL159" s="546">
        <v>2721273457</v>
      </c>
      <c r="EM159" s="548">
        <f t="shared" si="176"/>
        <v>192052970</v>
      </c>
      <c r="EN159" s="548">
        <f t="shared" si="177"/>
        <v>2798660.4569999999</v>
      </c>
      <c r="EO159" s="548">
        <f t="shared" si="178"/>
        <v>2721273.4569999999</v>
      </c>
      <c r="EW159" s="544" t="s">
        <v>402</v>
      </c>
      <c r="EX159" s="545">
        <v>16334626100</v>
      </c>
      <c r="EY159" s="545">
        <v>16334626100</v>
      </c>
      <c r="EZ159" s="545">
        <v>16334529250</v>
      </c>
      <c r="FA159" s="545">
        <v>16334529250</v>
      </c>
      <c r="FB159" s="545">
        <v>96850</v>
      </c>
      <c r="FC159" s="546">
        <f t="shared" si="179"/>
        <v>16334626.1</v>
      </c>
      <c r="FD159" s="546">
        <f t="shared" si="180"/>
        <v>16334626.1</v>
      </c>
      <c r="FE159" s="546">
        <f t="shared" si="181"/>
        <v>16334529.25</v>
      </c>
      <c r="FF159" s="546">
        <f t="shared" si="182"/>
        <v>16334529.25</v>
      </c>
      <c r="FG159" s="546">
        <f t="shared" si="183"/>
        <v>96.85</v>
      </c>
      <c r="FN159" s="549" t="s">
        <v>882</v>
      </c>
      <c r="FO159" s="550">
        <v>7449553000</v>
      </c>
      <c r="FP159" s="550">
        <v>7449553000</v>
      </c>
      <c r="FQ159" s="550">
        <v>7449553000</v>
      </c>
      <c r="FR159" s="550">
        <f t="shared" si="184"/>
        <v>7449553</v>
      </c>
      <c r="FS159" s="550">
        <f t="shared" si="185"/>
        <v>7449553</v>
      </c>
      <c r="FT159" s="550">
        <f t="shared" si="186"/>
        <v>7449553</v>
      </c>
    </row>
    <row r="160" spans="1:176" ht="15" customHeight="1" x14ac:dyDescent="0.25">
      <c r="BK160" s="544" t="s">
        <v>406</v>
      </c>
      <c r="BL160" s="545">
        <v>2561303000</v>
      </c>
      <c r="BM160" s="545">
        <v>1781802273</v>
      </c>
      <c r="BN160" s="545">
        <v>1781802273</v>
      </c>
      <c r="BO160" s="545">
        <v>779500727</v>
      </c>
      <c r="BP160" s="545">
        <f t="shared" si="198"/>
        <v>2561303</v>
      </c>
      <c r="BQ160" s="545">
        <f t="shared" si="199"/>
        <v>1781802.273</v>
      </c>
      <c r="BR160" s="545">
        <f t="shared" si="200"/>
        <v>1781802.273</v>
      </c>
      <c r="BS160" s="545">
        <f t="shared" si="201"/>
        <v>779500.72699999996</v>
      </c>
      <c r="BZ160" s="544" t="s">
        <v>406</v>
      </c>
      <c r="CA160" s="545">
        <v>2561303000</v>
      </c>
      <c r="CB160" s="545">
        <v>1803475684</v>
      </c>
      <c r="CC160" s="545">
        <v>1803475684</v>
      </c>
      <c r="CD160" s="545">
        <v>757827316</v>
      </c>
      <c r="CE160" s="545">
        <f t="shared" si="196"/>
        <v>2561303</v>
      </c>
      <c r="CF160" s="545">
        <f t="shared" si="202"/>
        <v>1803475.6839999999</v>
      </c>
      <c r="CG160" s="545">
        <f t="shared" si="203"/>
        <v>1803475.6839999999</v>
      </c>
      <c r="CH160" s="545">
        <f t="shared" si="204"/>
        <v>757827.31599999999</v>
      </c>
      <c r="CP160" s="547" t="s">
        <v>583</v>
      </c>
      <c r="CQ160" s="546">
        <v>2561303000</v>
      </c>
      <c r="CR160" s="546">
        <v>2561303000</v>
      </c>
      <c r="CS160" s="546">
        <v>2561303000</v>
      </c>
      <c r="CT160" s="546">
        <v>0</v>
      </c>
      <c r="CU160" s="546">
        <f t="shared" si="140"/>
        <v>2561303</v>
      </c>
      <c r="CV160" s="546">
        <f t="shared" si="141"/>
        <v>2561303</v>
      </c>
      <c r="CW160" s="546">
        <f t="shared" si="142"/>
        <v>2561303</v>
      </c>
      <c r="CX160" s="546">
        <f t="shared" si="143"/>
        <v>0</v>
      </c>
      <c r="DE160" s="544" t="s">
        <v>406</v>
      </c>
      <c r="DF160" s="545">
        <v>2561303000</v>
      </c>
      <c r="DG160" s="545">
        <v>2561303000</v>
      </c>
      <c r="DH160" s="545">
        <v>2561303000</v>
      </c>
      <c r="DI160" s="545">
        <v>0</v>
      </c>
      <c r="DJ160" s="546">
        <f t="shared" si="168"/>
        <v>2561303</v>
      </c>
      <c r="DK160" s="546">
        <f t="shared" si="169"/>
        <v>2561303</v>
      </c>
      <c r="DL160" s="546">
        <f t="shared" si="170"/>
        <v>2561303</v>
      </c>
      <c r="DM160" s="546">
        <f t="shared" si="171"/>
        <v>0</v>
      </c>
      <c r="DT160" s="544" t="s">
        <v>405</v>
      </c>
      <c r="DU160" s="545">
        <v>2561303000</v>
      </c>
      <c r="DV160" s="545">
        <v>2561303000</v>
      </c>
      <c r="DW160" s="545">
        <v>2561303000</v>
      </c>
      <c r="DX160" s="545">
        <v>0</v>
      </c>
      <c r="DY160" s="546">
        <f t="shared" si="205"/>
        <v>2561303</v>
      </c>
      <c r="DZ160" s="546">
        <f t="shared" si="206"/>
        <v>2561303</v>
      </c>
      <c r="EA160" s="546">
        <f t="shared" si="207"/>
        <v>2561303</v>
      </c>
      <c r="EB160" s="546">
        <f t="shared" si="208"/>
        <v>0</v>
      </c>
      <c r="EI160" s="547" t="s">
        <v>882</v>
      </c>
      <c r="EJ160" s="546">
        <v>192052970000</v>
      </c>
      <c r="EK160" s="546">
        <v>2798660457</v>
      </c>
      <c r="EL160" s="546">
        <v>2721273457</v>
      </c>
      <c r="EM160" s="548">
        <f t="shared" si="176"/>
        <v>192052970</v>
      </c>
      <c r="EN160" s="548">
        <f t="shared" si="177"/>
        <v>2798660.4569999999</v>
      </c>
      <c r="EO160" s="548">
        <f t="shared" si="178"/>
        <v>2721273.4569999999</v>
      </c>
      <c r="EW160" s="544" t="s">
        <v>403</v>
      </c>
      <c r="EX160" s="545">
        <v>12687731000</v>
      </c>
      <c r="EY160" s="545">
        <v>12687731000</v>
      </c>
      <c r="EZ160" s="545">
        <v>12687731000</v>
      </c>
      <c r="FA160" s="545">
        <v>12687731000</v>
      </c>
      <c r="FB160" s="545">
        <v>0</v>
      </c>
      <c r="FC160" s="546">
        <f t="shared" si="179"/>
        <v>12687731</v>
      </c>
      <c r="FD160" s="546">
        <f t="shared" si="180"/>
        <v>12687731</v>
      </c>
      <c r="FE160" s="546">
        <f t="shared" si="181"/>
        <v>12687731</v>
      </c>
      <c r="FF160" s="546">
        <f t="shared" si="182"/>
        <v>12687731</v>
      </c>
      <c r="FG160" s="546">
        <f t="shared" si="183"/>
        <v>0</v>
      </c>
      <c r="FN160" s="549" t="s">
        <v>883</v>
      </c>
      <c r="FO160" s="550">
        <v>7449553000</v>
      </c>
      <c r="FP160" s="550">
        <v>7449553000</v>
      </c>
      <c r="FQ160" s="550">
        <v>7449553000</v>
      </c>
      <c r="FR160" s="550">
        <f t="shared" si="184"/>
        <v>7449553</v>
      </c>
      <c r="FS160" s="550">
        <f t="shared" si="185"/>
        <v>7449553</v>
      </c>
      <c r="FT160" s="550">
        <f t="shared" si="186"/>
        <v>7449553</v>
      </c>
    </row>
    <row r="161" spans="63:176" ht="15" customHeight="1" x14ac:dyDescent="0.25">
      <c r="BK161" s="544" t="s">
        <v>583</v>
      </c>
      <c r="BL161" s="545">
        <v>2561303000</v>
      </c>
      <c r="BM161" s="545">
        <v>1781802273</v>
      </c>
      <c r="BN161" s="545">
        <v>1781802273</v>
      </c>
      <c r="BO161" s="545">
        <v>779500727</v>
      </c>
      <c r="BP161" s="545">
        <f t="shared" si="198"/>
        <v>2561303</v>
      </c>
      <c r="BQ161" s="545">
        <f t="shared" si="199"/>
        <v>1781802.273</v>
      </c>
      <c r="BR161" s="545">
        <f t="shared" si="200"/>
        <v>1781802.273</v>
      </c>
      <c r="BS161" s="545">
        <f t="shared" si="201"/>
        <v>779500.72699999996</v>
      </c>
      <c r="BZ161" s="544" t="s">
        <v>583</v>
      </c>
      <c r="CA161" s="545">
        <v>2561303000</v>
      </c>
      <c r="CB161" s="545">
        <v>1803475684</v>
      </c>
      <c r="CC161" s="545">
        <v>1803475684</v>
      </c>
      <c r="CD161" s="545">
        <v>757827316</v>
      </c>
      <c r="CE161" s="545">
        <f t="shared" si="196"/>
        <v>2561303</v>
      </c>
      <c r="CF161" s="545">
        <f t="shared" si="202"/>
        <v>1803475.6839999999</v>
      </c>
      <c r="CG161" s="545">
        <f t="shared" si="203"/>
        <v>1803475.6839999999</v>
      </c>
      <c r="CH161" s="545">
        <f t="shared" si="204"/>
        <v>757827.31599999999</v>
      </c>
      <c r="CP161" s="547" t="s">
        <v>407</v>
      </c>
      <c r="CQ161" s="546">
        <v>1085592100</v>
      </c>
      <c r="CR161" s="546">
        <v>1085495250</v>
      </c>
      <c r="CS161" s="546">
        <v>1085495250</v>
      </c>
      <c r="CT161" s="546">
        <v>96850</v>
      </c>
      <c r="CU161" s="546">
        <f t="shared" si="140"/>
        <v>1085592.1000000001</v>
      </c>
      <c r="CV161" s="546">
        <f t="shared" si="141"/>
        <v>1085495.25</v>
      </c>
      <c r="CW161" s="546">
        <f t="shared" si="142"/>
        <v>1085495.25</v>
      </c>
      <c r="CX161" s="546">
        <f t="shared" si="143"/>
        <v>96.85</v>
      </c>
      <c r="DE161" s="544" t="s">
        <v>583</v>
      </c>
      <c r="DF161" s="545">
        <v>2561303000</v>
      </c>
      <c r="DG161" s="545">
        <v>2561303000</v>
      </c>
      <c r="DH161" s="545">
        <v>2561303000</v>
      </c>
      <c r="DI161" s="545">
        <v>0</v>
      </c>
      <c r="DJ161" s="546">
        <f t="shared" si="168"/>
        <v>2561303</v>
      </c>
      <c r="DK161" s="546">
        <f t="shared" si="169"/>
        <v>2561303</v>
      </c>
      <c r="DL161" s="546">
        <f t="shared" si="170"/>
        <v>2561303</v>
      </c>
      <c r="DM161" s="546">
        <f t="shared" si="171"/>
        <v>0</v>
      </c>
      <c r="DT161" s="544" t="s">
        <v>406</v>
      </c>
      <c r="DU161" s="545">
        <v>2561303000</v>
      </c>
      <c r="DV161" s="545">
        <v>2561303000</v>
      </c>
      <c r="DW161" s="545">
        <v>2561303000</v>
      </c>
      <c r="DX161" s="545">
        <v>0</v>
      </c>
      <c r="DY161" s="546">
        <f t="shared" si="205"/>
        <v>2561303</v>
      </c>
      <c r="DZ161" s="546">
        <f t="shared" si="206"/>
        <v>2561303</v>
      </c>
      <c r="EA161" s="546">
        <f t="shared" si="207"/>
        <v>2561303</v>
      </c>
      <c r="EB161" s="546">
        <f t="shared" si="208"/>
        <v>0</v>
      </c>
      <c r="EI161" s="547" t="s">
        <v>883</v>
      </c>
      <c r="EJ161" s="546">
        <v>192052970000</v>
      </c>
      <c r="EK161" s="546">
        <v>2798660457</v>
      </c>
      <c r="EL161" s="546">
        <v>2721273457</v>
      </c>
      <c r="EM161" s="548">
        <f t="shared" si="176"/>
        <v>192052970</v>
      </c>
      <c r="EN161" s="548">
        <f t="shared" si="177"/>
        <v>2798660.4569999999</v>
      </c>
      <c r="EO161" s="548">
        <f t="shared" si="178"/>
        <v>2721273.4569999999</v>
      </c>
      <c r="EW161" s="544" t="s">
        <v>405</v>
      </c>
      <c r="EX161" s="545">
        <v>2561303000</v>
      </c>
      <c r="EY161" s="545">
        <v>2561303000</v>
      </c>
      <c r="EZ161" s="545">
        <v>2561303000</v>
      </c>
      <c r="FA161" s="545">
        <v>2561303000</v>
      </c>
      <c r="FB161" s="545">
        <v>0</v>
      </c>
      <c r="FC161" s="546">
        <f t="shared" si="179"/>
        <v>2561303</v>
      </c>
      <c r="FD161" s="546">
        <f t="shared" si="180"/>
        <v>2561303</v>
      </c>
      <c r="FE161" s="546">
        <f t="shared" si="181"/>
        <v>2561303</v>
      </c>
      <c r="FF161" s="546">
        <f t="shared" si="182"/>
        <v>2561303</v>
      </c>
      <c r="FG161" s="546">
        <f t="shared" si="183"/>
        <v>0</v>
      </c>
      <c r="FN161" s="549" t="s">
        <v>402</v>
      </c>
      <c r="FO161" s="550">
        <v>16334626100</v>
      </c>
      <c r="FP161" s="550">
        <v>16334529250</v>
      </c>
      <c r="FQ161" s="550">
        <v>16334529250</v>
      </c>
      <c r="FR161" s="550">
        <f t="shared" si="184"/>
        <v>16334626.1</v>
      </c>
      <c r="FS161" s="550">
        <f t="shared" si="185"/>
        <v>16334529.25</v>
      </c>
      <c r="FT161" s="550">
        <f t="shared" si="186"/>
        <v>16334529.25</v>
      </c>
    </row>
    <row r="162" spans="63:176" ht="15" customHeight="1" x14ac:dyDescent="0.25">
      <c r="BK162" s="544" t="s">
        <v>407</v>
      </c>
      <c r="BL162" s="545">
        <v>1085592100</v>
      </c>
      <c r="BM162" s="545">
        <v>1085495250</v>
      </c>
      <c r="BN162" s="545">
        <v>1085495250</v>
      </c>
      <c r="BO162" s="545">
        <v>96850</v>
      </c>
      <c r="BP162" s="545">
        <f t="shared" si="198"/>
        <v>1085592.1000000001</v>
      </c>
      <c r="BQ162" s="545">
        <f t="shared" si="199"/>
        <v>1085495.25</v>
      </c>
      <c r="BR162" s="545">
        <f t="shared" si="200"/>
        <v>1085495.25</v>
      </c>
      <c r="BS162" s="545">
        <f t="shared" si="201"/>
        <v>96.85</v>
      </c>
      <c r="BZ162" s="544" t="s">
        <v>407</v>
      </c>
      <c r="CA162" s="545">
        <v>1085592100</v>
      </c>
      <c r="CB162" s="545">
        <v>1085495250</v>
      </c>
      <c r="CC162" s="545">
        <v>1085495250</v>
      </c>
      <c r="CD162" s="545">
        <v>96850</v>
      </c>
      <c r="CE162" s="545">
        <f t="shared" si="196"/>
        <v>1085592.1000000001</v>
      </c>
      <c r="CF162" s="545">
        <f t="shared" si="202"/>
        <v>1085495.25</v>
      </c>
      <c r="CG162" s="545">
        <f t="shared" si="203"/>
        <v>1085495.25</v>
      </c>
      <c r="CH162" s="545">
        <f t="shared" si="204"/>
        <v>96.85</v>
      </c>
      <c r="CU162" s="548">
        <f>SUM(CU3:CU161)</f>
        <v>723638346.74699998</v>
      </c>
      <c r="CV162" s="548">
        <f t="shared" ref="CV162:CX162" si="209">SUM(CV3:CV161)</f>
        <v>90260113.075000003</v>
      </c>
      <c r="CW162" s="548">
        <f t="shared" si="209"/>
        <v>94655598.893999994</v>
      </c>
      <c r="CX162" s="548">
        <f t="shared" si="209"/>
        <v>628982747.85299993</v>
      </c>
      <c r="DE162" s="544" t="s">
        <v>407</v>
      </c>
      <c r="DF162" s="545">
        <v>1085592100</v>
      </c>
      <c r="DG162" s="545">
        <v>1085495250</v>
      </c>
      <c r="DH162" s="545">
        <v>1085495250</v>
      </c>
      <c r="DI162" s="545">
        <v>96850</v>
      </c>
      <c r="DJ162" s="546">
        <f t="shared" si="168"/>
        <v>1085592.1000000001</v>
      </c>
      <c r="DK162" s="546">
        <f t="shared" si="169"/>
        <v>1085495.25</v>
      </c>
      <c r="DL162" s="546">
        <f t="shared" si="170"/>
        <v>1085495.25</v>
      </c>
      <c r="DM162" s="546">
        <f t="shared" si="171"/>
        <v>96.85</v>
      </c>
      <c r="DT162" s="544" t="s">
        <v>583</v>
      </c>
      <c r="DU162" s="545">
        <v>2561303000</v>
      </c>
      <c r="DV162" s="545">
        <v>2561303000</v>
      </c>
      <c r="DW162" s="545">
        <v>2561303000</v>
      </c>
      <c r="DX162" s="545">
        <v>0</v>
      </c>
      <c r="DY162" s="546">
        <f t="shared" si="205"/>
        <v>2561303</v>
      </c>
      <c r="DZ162" s="546">
        <f t="shared" si="206"/>
        <v>2561303</v>
      </c>
      <c r="EA162" s="546">
        <f t="shared" si="207"/>
        <v>2561303</v>
      </c>
      <c r="EB162" s="546">
        <f t="shared" si="208"/>
        <v>0</v>
      </c>
      <c r="EI162" s="547" t="s">
        <v>402</v>
      </c>
      <c r="EJ162" s="546">
        <v>16334626100</v>
      </c>
      <c r="EK162" s="546">
        <v>16334529250</v>
      </c>
      <c r="EL162" s="546">
        <v>16334529250</v>
      </c>
      <c r="EM162" s="548">
        <f t="shared" si="176"/>
        <v>16334626.1</v>
      </c>
      <c r="EN162" s="548">
        <f t="shared" si="177"/>
        <v>16334529.25</v>
      </c>
      <c r="EO162" s="548">
        <f t="shared" si="178"/>
        <v>16334529.25</v>
      </c>
      <c r="EW162" s="544" t="s">
        <v>407</v>
      </c>
      <c r="EX162" s="545">
        <v>1085592100</v>
      </c>
      <c r="EY162" s="545">
        <v>1085592100</v>
      </c>
      <c r="EZ162" s="545">
        <v>1085495250</v>
      </c>
      <c r="FA162" s="545">
        <v>1085495250</v>
      </c>
      <c r="FB162" s="545">
        <v>96850</v>
      </c>
      <c r="FC162" s="546">
        <f t="shared" si="179"/>
        <v>1085592.1000000001</v>
      </c>
      <c r="FD162" s="546">
        <f t="shared" si="180"/>
        <v>1085592.1000000001</v>
      </c>
      <c r="FE162" s="546">
        <f t="shared" si="181"/>
        <v>1085495.25</v>
      </c>
      <c r="FF162" s="546">
        <f t="shared" si="182"/>
        <v>1085495.25</v>
      </c>
      <c r="FG162" s="546">
        <f t="shared" si="183"/>
        <v>96.85</v>
      </c>
      <c r="FN162" s="549" t="s">
        <v>403</v>
      </c>
      <c r="FO162" s="550">
        <v>12687731000</v>
      </c>
      <c r="FP162" s="550">
        <v>12687731000</v>
      </c>
      <c r="FQ162" s="550">
        <v>12687731000</v>
      </c>
      <c r="FR162" s="550">
        <f t="shared" si="184"/>
        <v>12687731</v>
      </c>
      <c r="FS162" s="550">
        <f t="shared" si="185"/>
        <v>12687731</v>
      </c>
      <c r="FT162" s="550">
        <f t="shared" si="186"/>
        <v>12687731</v>
      </c>
    </row>
    <row r="163" spans="63:176" ht="15" customHeight="1" x14ac:dyDescent="0.25">
      <c r="DE163" s="544"/>
      <c r="DF163" s="545"/>
      <c r="DG163" s="545"/>
      <c r="DH163" s="545"/>
      <c r="DI163" s="545"/>
      <c r="DT163" s="544" t="s">
        <v>407</v>
      </c>
      <c r="DU163" s="545">
        <v>1085592100</v>
      </c>
      <c r="DV163" s="545">
        <v>1085495250</v>
      </c>
      <c r="DW163" s="545">
        <v>1085495250</v>
      </c>
      <c r="DX163" s="545">
        <v>96850</v>
      </c>
      <c r="DY163" s="546">
        <f t="shared" si="205"/>
        <v>1085592.1000000001</v>
      </c>
      <c r="DZ163" s="546">
        <f t="shared" si="206"/>
        <v>1085495.25</v>
      </c>
      <c r="EA163" s="546">
        <f t="shared" si="207"/>
        <v>1085495.25</v>
      </c>
      <c r="EB163" s="546">
        <f t="shared" si="208"/>
        <v>96.85</v>
      </c>
      <c r="EI163" s="547" t="s">
        <v>403</v>
      </c>
      <c r="EJ163" s="546">
        <v>12687731000</v>
      </c>
      <c r="EK163" s="546">
        <v>12687731000</v>
      </c>
      <c r="EL163" s="546">
        <v>12687731000</v>
      </c>
      <c r="EM163" s="548">
        <f t="shared" si="176"/>
        <v>12687731</v>
      </c>
      <c r="EN163" s="548">
        <f t="shared" si="177"/>
        <v>12687731</v>
      </c>
      <c r="EO163" s="548">
        <f t="shared" si="178"/>
        <v>12687731</v>
      </c>
      <c r="EW163" s="544"/>
      <c r="EX163" s="545"/>
      <c r="EY163" s="545"/>
      <c r="EZ163" s="545"/>
      <c r="FA163" s="545"/>
      <c r="FB163" s="545">
        <v>0</v>
      </c>
      <c r="FC163" s="546">
        <f t="shared" si="179"/>
        <v>0</v>
      </c>
      <c r="FD163" s="546">
        <f t="shared" si="180"/>
        <v>0</v>
      </c>
      <c r="FE163" s="546">
        <f t="shared" si="181"/>
        <v>0</v>
      </c>
      <c r="FF163" s="546">
        <f t="shared" si="182"/>
        <v>0</v>
      </c>
      <c r="FG163" s="546">
        <f t="shared" si="183"/>
        <v>0</v>
      </c>
      <c r="FN163" s="549" t="s">
        <v>404</v>
      </c>
      <c r="FO163" s="550">
        <v>12687731000</v>
      </c>
      <c r="FP163" s="550">
        <v>12687731000</v>
      </c>
      <c r="FQ163" s="550">
        <v>12687731000</v>
      </c>
      <c r="FR163" s="550">
        <f t="shared" si="184"/>
        <v>12687731</v>
      </c>
      <c r="FS163" s="550">
        <f t="shared" si="185"/>
        <v>12687731</v>
      </c>
      <c r="FT163" s="550">
        <f t="shared" si="186"/>
        <v>12687731</v>
      </c>
    </row>
    <row r="164" spans="63:176" ht="15" customHeight="1" x14ac:dyDescent="0.25">
      <c r="DE164" s="544"/>
      <c r="DF164" s="545"/>
      <c r="DG164" s="545"/>
      <c r="DH164" s="545"/>
      <c r="DI164" s="545"/>
      <c r="DY164" s="546">
        <f t="shared" si="205"/>
        <v>0</v>
      </c>
      <c r="DZ164" s="546">
        <f t="shared" si="206"/>
        <v>0</v>
      </c>
      <c r="EA164" s="546">
        <f t="shared" si="207"/>
        <v>0</v>
      </c>
      <c r="EB164" s="546">
        <f t="shared" si="208"/>
        <v>0</v>
      </c>
      <c r="EI164" s="547" t="s">
        <v>404</v>
      </c>
      <c r="EJ164" s="546">
        <v>12687731000</v>
      </c>
      <c r="EK164" s="546">
        <v>12687731000</v>
      </c>
      <c r="EL164" s="546">
        <v>12687731000</v>
      </c>
      <c r="EM164" s="548">
        <f t="shared" si="176"/>
        <v>12687731</v>
      </c>
      <c r="EN164" s="548">
        <f t="shared" si="177"/>
        <v>12687731</v>
      </c>
      <c r="EO164" s="548">
        <f t="shared" si="178"/>
        <v>12687731</v>
      </c>
      <c r="EW164" s="544"/>
      <c r="EX164" s="545"/>
      <c r="EY164" s="545"/>
      <c r="EZ164" s="545"/>
      <c r="FA164" s="545"/>
      <c r="FB164" s="545">
        <v>0</v>
      </c>
      <c r="FC164" s="546">
        <f t="shared" si="179"/>
        <v>0</v>
      </c>
      <c r="FD164" s="546">
        <f t="shared" si="180"/>
        <v>0</v>
      </c>
      <c r="FE164" s="546">
        <f t="shared" si="181"/>
        <v>0</v>
      </c>
      <c r="FF164" s="546">
        <f t="shared" si="182"/>
        <v>0</v>
      </c>
      <c r="FG164" s="546">
        <f t="shared" si="183"/>
        <v>0</v>
      </c>
      <c r="FN164" s="549" t="s">
        <v>405</v>
      </c>
      <c r="FO164" s="550">
        <v>2561303000</v>
      </c>
      <c r="FP164" s="550">
        <v>2561303000</v>
      </c>
      <c r="FQ164" s="550">
        <v>2561303000</v>
      </c>
      <c r="FR164" s="550">
        <f t="shared" si="184"/>
        <v>2561303</v>
      </c>
      <c r="FS164" s="550">
        <f t="shared" si="185"/>
        <v>2561303</v>
      </c>
      <c r="FT164" s="550">
        <f t="shared" si="186"/>
        <v>2561303</v>
      </c>
    </row>
    <row r="165" spans="63:176" ht="15" customHeight="1" x14ac:dyDescent="0.25">
      <c r="DU165" s="547"/>
      <c r="DV165" s="547"/>
      <c r="DW165" s="547"/>
      <c r="DX165" s="547"/>
      <c r="EI165" s="547" t="s">
        <v>405</v>
      </c>
      <c r="EJ165" s="546">
        <v>2561303000</v>
      </c>
      <c r="EK165" s="546">
        <v>2561303000</v>
      </c>
      <c r="EL165" s="546">
        <v>2561303000</v>
      </c>
      <c r="EM165" s="548">
        <f t="shared" si="176"/>
        <v>2561303</v>
      </c>
      <c r="EN165" s="548">
        <f t="shared" si="177"/>
        <v>2561303</v>
      </c>
      <c r="EO165" s="548">
        <f t="shared" si="178"/>
        <v>2561303</v>
      </c>
      <c r="EW165" s="544"/>
      <c r="EX165" s="545"/>
      <c r="EY165" s="545"/>
      <c r="EZ165" s="545"/>
      <c r="FA165" s="545"/>
      <c r="FB165" s="545">
        <v>96850</v>
      </c>
      <c r="FC165" s="546">
        <f t="shared" si="179"/>
        <v>0</v>
      </c>
      <c r="FD165" s="546">
        <f t="shared" si="180"/>
        <v>0</v>
      </c>
      <c r="FE165" s="546">
        <f t="shared" si="181"/>
        <v>0</v>
      </c>
      <c r="FF165" s="546">
        <f t="shared" si="182"/>
        <v>0</v>
      </c>
      <c r="FG165" s="546">
        <f t="shared" si="183"/>
        <v>96.85</v>
      </c>
      <c r="FN165" s="549" t="s">
        <v>406</v>
      </c>
      <c r="FO165" s="550">
        <v>2561303000</v>
      </c>
      <c r="FP165" s="550">
        <v>2561303000</v>
      </c>
      <c r="FQ165" s="550">
        <v>2561303000</v>
      </c>
      <c r="FR165" s="550">
        <f t="shared" si="184"/>
        <v>2561303</v>
      </c>
      <c r="FS165" s="550">
        <f t="shared" si="185"/>
        <v>2561303</v>
      </c>
      <c r="FT165" s="550">
        <f t="shared" si="186"/>
        <v>2561303</v>
      </c>
    </row>
    <row r="166" spans="63:176" ht="15" customHeight="1" x14ac:dyDescent="0.25">
      <c r="DU166" s="547"/>
      <c r="DV166" s="547"/>
      <c r="DW166" s="547"/>
      <c r="DX166" s="547"/>
      <c r="EI166" s="547" t="s">
        <v>406</v>
      </c>
      <c r="EJ166" s="546">
        <v>2561303000</v>
      </c>
      <c r="EK166" s="546">
        <v>2561303000</v>
      </c>
      <c r="EL166" s="546">
        <v>2561303000</v>
      </c>
      <c r="EM166" s="548">
        <f t="shared" si="176"/>
        <v>2561303</v>
      </c>
      <c r="EN166" s="548">
        <f t="shared" si="177"/>
        <v>2561303</v>
      </c>
      <c r="EO166" s="548">
        <f t="shared" si="178"/>
        <v>2561303</v>
      </c>
      <c r="EW166" s="544"/>
      <c r="EX166" s="545"/>
      <c r="EY166" s="545"/>
      <c r="EZ166" s="545"/>
      <c r="FA166" s="545"/>
      <c r="FB166" s="545">
        <v>603962600</v>
      </c>
      <c r="FC166" s="546">
        <f t="shared" si="179"/>
        <v>0</v>
      </c>
      <c r="FD166" s="546">
        <f t="shared" si="180"/>
        <v>0</v>
      </c>
      <c r="FE166" s="546">
        <f t="shared" si="181"/>
        <v>0</v>
      </c>
      <c r="FF166" s="546">
        <f t="shared" si="182"/>
        <v>0</v>
      </c>
      <c r="FG166" s="546">
        <f t="shared" si="183"/>
        <v>603962.6</v>
      </c>
      <c r="FN166" s="549" t="s">
        <v>583</v>
      </c>
      <c r="FO166" s="550">
        <v>2561303000</v>
      </c>
      <c r="FP166" s="550">
        <v>2561303000</v>
      </c>
      <c r="FQ166" s="550">
        <v>2561303000</v>
      </c>
      <c r="FR166" s="550">
        <f t="shared" si="184"/>
        <v>2561303</v>
      </c>
      <c r="FS166" s="550">
        <f t="shared" si="185"/>
        <v>2561303</v>
      </c>
      <c r="FT166" s="550">
        <f t="shared" si="186"/>
        <v>2561303</v>
      </c>
    </row>
    <row r="167" spans="63:176" ht="15" customHeight="1" x14ac:dyDescent="0.25">
      <c r="EI167" s="547" t="s">
        <v>583</v>
      </c>
      <c r="EJ167" s="546">
        <v>2561303000</v>
      </c>
      <c r="EK167" s="546">
        <v>2561303000</v>
      </c>
      <c r="EL167" s="546">
        <v>2561303000</v>
      </c>
      <c r="EM167" s="548">
        <f t="shared" si="176"/>
        <v>2561303</v>
      </c>
      <c r="EN167" s="548">
        <f t="shared" si="177"/>
        <v>2561303</v>
      </c>
      <c r="EO167" s="548">
        <f t="shared" si="178"/>
        <v>2561303</v>
      </c>
      <c r="EW167" s="544"/>
      <c r="EX167" s="545"/>
      <c r="EY167" s="545"/>
      <c r="EZ167" s="545"/>
      <c r="FA167" s="545"/>
      <c r="FB167" s="545">
        <v>603962600</v>
      </c>
      <c r="FC167" s="546">
        <f t="shared" si="179"/>
        <v>0</v>
      </c>
      <c r="FD167" s="546">
        <f t="shared" si="180"/>
        <v>0</v>
      </c>
      <c r="FE167" s="546">
        <f t="shared" si="181"/>
        <v>0</v>
      </c>
      <c r="FF167" s="546">
        <f t="shared" si="182"/>
        <v>0</v>
      </c>
      <c r="FG167" s="546">
        <f t="shared" si="183"/>
        <v>603962.6</v>
      </c>
      <c r="FN167" s="549" t="s">
        <v>407</v>
      </c>
      <c r="FO167" s="550">
        <v>1085592100</v>
      </c>
      <c r="FP167" s="550">
        <v>1085495250</v>
      </c>
      <c r="FQ167" s="550">
        <v>1085495250</v>
      </c>
      <c r="FR167" s="550">
        <f t="shared" si="184"/>
        <v>1085592.1000000001</v>
      </c>
      <c r="FS167" s="550">
        <f t="shared" si="185"/>
        <v>1085495.25</v>
      </c>
      <c r="FT167" s="550">
        <f t="shared" si="186"/>
        <v>1085495.25</v>
      </c>
    </row>
    <row r="168" spans="63:176" ht="15" customHeight="1" x14ac:dyDescent="0.25">
      <c r="EI168" s="547" t="s">
        <v>407</v>
      </c>
      <c r="EJ168" s="546">
        <v>1085592100</v>
      </c>
      <c r="EK168" s="546">
        <v>1085495250</v>
      </c>
      <c r="EL168" s="546">
        <v>1085495250</v>
      </c>
      <c r="EM168" s="548">
        <f t="shared" si="176"/>
        <v>1085592.1000000001</v>
      </c>
      <c r="EN168" s="548">
        <f t="shared" si="177"/>
        <v>1085495.25</v>
      </c>
      <c r="EO168" s="548">
        <f t="shared" si="178"/>
        <v>1085495.25</v>
      </c>
      <c r="EW168" s="544"/>
      <c r="EX168" s="545"/>
      <c r="EY168" s="545"/>
      <c r="EZ168" s="545"/>
      <c r="FA168" s="545"/>
      <c r="FB168" s="545">
        <v>19134849</v>
      </c>
      <c r="FC168" s="546">
        <f t="shared" si="179"/>
        <v>0</v>
      </c>
      <c r="FD168" s="546">
        <f t="shared" si="180"/>
        <v>0</v>
      </c>
      <c r="FE168" s="546">
        <f t="shared" si="181"/>
        <v>0</v>
      </c>
      <c r="FF168" s="546">
        <f t="shared" si="182"/>
        <v>0</v>
      </c>
      <c r="FG168" s="546">
        <f t="shared" si="183"/>
        <v>19134.848999999998</v>
      </c>
      <c r="FR168" s="550">
        <f>SUM(FR3:FR167)</f>
        <v>174893508.035</v>
      </c>
      <c r="FS168" s="550">
        <f t="shared" ref="FS168:FT168" si="210">SUM(FS3:FS167)</f>
        <v>172790127.87699997</v>
      </c>
      <c r="FT168" s="550">
        <f t="shared" si="210"/>
        <v>172896672.69999999</v>
      </c>
    </row>
    <row r="169" spans="63:176" ht="15" customHeight="1" x14ac:dyDescent="0.25">
      <c r="EW169" s="544"/>
      <c r="EX169" s="545"/>
      <c r="EY169" s="545"/>
      <c r="EZ169" s="545"/>
      <c r="FA169" s="545"/>
      <c r="FB169" s="545">
        <v>234250038</v>
      </c>
      <c r="FC169" s="546">
        <f t="shared" si="179"/>
        <v>0</v>
      </c>
      <c r="FD169" s="546">
        <f t="shared" si="180"/>
        <v>0</v>
      </c>
      <c r="FE169" s="546">
        <f t="shared" si="181"/>
        <v>0</v>
      </c>
      <c r="FF169" s="546">
        <f t="shared" si="182"/>
        <v>0</v>
      </c>
      <c r="FG169" s="546">
        <f t="shared" si="183"/>
        <v>234250.038</v>
      </c>
    </row>
    <row r="170" spans="63:176" ht="15" customHeight="1" x14ac:dyDescent="0.25">
      <c r="EW170" s="544"/>
      <c r="EX170" s="545"/>
      <c r="EY170" s="545"/>
      <c r="EZ170" s="545"/>
      <c r="FA170" s="545"/>
      <c r="FB170" s="545">
        <v>25000310</v>
      </c>
      <c r="FC170" s="546">
        <f t="shared" si="179"/>
        <v>0</v>
      </c>
      <c r="FD170" s="546">
        <f t="shared" si="180"/>
        <v>0</v>
      </c>
      <c r="FE170" s="546">
        <f t="shared" si="181"/>
        <v>0</v>
      </c>
      <c r="FF170" s="546">
        <f t="shared" si="182"/>
        <v>0</v>
      </c>
      <c r="FG170" s="546">
        <f t="shared" si="183"/>
        <v>25000.31</v>
      </c>
    </row>
    <row r="171" spans="63:176" ht="15" customHeight="1" x14ac:dyDescent="0.25">
      <c r="EW171" s="544"/>
      <c r="EX171" s="545"/>
      <c r="EY171" s="545"/>
      <c r="EZ171" s="545"/>
      <c r="FA171" s="545"/>
      <c r="FB171" s="545">
        <v>325577403</v>
      </c>
      <c r="FC171" s="546">
        <f t="shared" si="179"/>
        <v>0</v>
      </c>
      <c r="FD171" s="546">
        <f t="shared" si="180"/>
        <v>0</v>
      </c>
      <c r="FE171" s="546">
        <f t="shared" si="181"/>
        <v>0</v>
      </c>
      <c r="FF171" s="546">
        <f t="shared" si="182"/>
        <v>0</v>
      </c>
      <c r="FG171" s="546">
        <f t="shared" si="183"/>
        <v>325577.40299999999</v>
      </c>
    </row>
    <row r="172" spans="63:176" ht="15" customHeight="1" x14ac:dyDescent="0.25">
      <c r="EW172" s="544"/>
      <c r="EX172" s="545"/>
      <c r="EY172" s="545"/>
      <c r="EZ172" s="545"/>
      <c r="FA172" s="545"/>
      <c r="FB172" s="545">
        <v>9607</v>
      </c>
      <c r="FC172" s="546">
        <f t="shared" si="179"/>
        <v>0</v>
      </c>
      <c r="FD172" s="546">
        <f t="shared" si="180"/>
        <v>0</v>
      </c>
      <c r="FE172" s="546">
        <f t="shared" si="181"/>
        <v>0</v>
      </c>
      <c r="FF172" s="546">
        <f t="shared" si="182"/>
        <v>0</v>
      </c>
      <c r="FG172" s="546">
        <f t="shared" si="183"/>
        <v>9.6069999999999993</v>
      </c>
    </row>
    <row r="173" spans="63:176" ht="15" customHeight="1" x14ac:dyDescent="0.25">
      <c r="EW173" s="544"/>
      <c r="EX173" s="545"/>
      <c r="EY173" s="545"/>
      <c r="EZ173" s="545"/>
      <c r="FA173" s="545"/>
      <c r="FB173" s="545">
        <v>9607</v>
      </c>
      <c r="FC173" s="546">
        <f t="shared" si="179"/>
        <v>0</v>
      </c>
      <c r="FD173" s="546">
        <f t="shared" si="180"/>
        <v>0</v>
      </c>
      <c r="FE173" s="546">
        <f t="shared" si="181"/>
        <v>0</v>
      </c>
      <c r="FF173" s="546">
        <f t="shared" si="182"/>
        <v>0</v>
      </c>
      <c r="FG173" s="546">
        <f t="shared" si="183"/>
        <v>9.6069999999999993</v>
      </c>
    </row>
    <row r="174" spans="63:176" ht="15" customHeight="1" x14ac:dyDescent="0.25">
      <c r="EW174" s="544"/>
      <c r="EX174" s="545"/>
      <c r="EY174" s="545"/>
      <c r="EZ174" s="545"/>
      <c r="FA174" s="545"/>
      <c r="FB174" s="545">
        <v>9607</v>
      </c>
      <c r="FC174" s="546">
        <f t="shared" si="179"/>
        <v>0</v>
      </c>
      <c r="FD174" s="546">
        <f t="shared" si="180"/>
        <v>0</v>
      </c>
      <c r="FE174" s="546">
        <f t="shared" si="181"/>
        <v>0</v>
      </c>
      <c r="FF174" s="546">
        <f t="shared" si="182"/>
        <v>0</v>
      </c>
      <c r="FG174" s="546">
        <f t="shared" si="183"/>
        <v>9.6069999999999993</v>
      </c>
    </row>
    <row r="175" spans="63:176" ht="15" customHeight="1" x14ac:dyDescent="0.25">
      <c r="EW175" s="544"/>
      <c r="EX175" s="545"/>
      <c r="EY175" s="545"/>
      <c r="EZ175" s="545"/>
      <c r="FA175" s="545"/>
      <c r="FB175" s="545">
        <v>399819004</v>
      </c>
      <c r="FC175" s="546">
        <f t="shared" si="179"/>
        <v>0</v>
      </c>
      <c r="FD175" s="546">
        <f t="shared" si="180"/>
        <v>0</v>
      </c>
      <c r="FE175" s="546">
        <f t="shared" si="181"/>
        <v>0</v>
      </c>
      <c r="FF175" s="546">
        <f t="shared" si="182"/>
        <v>0</v>
      </c>
      <c r="FG175" s="546">
        <f t="shared" si="183"/>
        <v>399819.00400000002</v>
      </c>
    </row>
    <row r="176" spans="63:176" ht="15" customHeight="1" x14ac:dyDescent="0.25">
      <c r="EW176" s="544"/>
      <c r="EX176" s="545"/>
      <c r="EY176" s="545"/>
      <c r="EZ176" s="545"/>
      <c r="FA176" s="545"/>
      <c r="FB176" s="545">
        <v>399819004</v>
      </c>
      <c r="FC176" s="546">
        <f t="shared" si="179"/>
        <v>0</v>
      </c>
      <c r="FD176" s="546">
        <f t="shared" si="180"/>
        <v>0</v>
      </c>
      <c r="FE176" s="546">
        <f t="shared" si="181"/>
        <v>0</v>
      </c>
      <c r="FF176" s="546">
        <f t="shared" si="182"/>
        <v>0</v>
      </c>
      <c r="FG176" s="546">
        <f t="shared" si="183"/>
        <v>399819.00400000002</v>
      </c>
    </row>
    <row r="177" spans="153:163" ht="15" customHeight="1" x14ac:dyDescent="0.25">
      <c r="EW177" s="544"/>
      <c r="EX177" s="545"/>
      <c r="EY177" s="545"/>
      <c r="EZ177" s="545"/>
      <c r="FA177" s="545"/>
      <c r="FB177" s="545">
        <v>399819004</v>
      </c>
      <c r="FC177" s="546">
        <f t="shared" si="179"/>
        <v>0</v>
      </c>
      <c r="FD177" s="546">
        <f t="shared" si="180"/>
        <v>0</v>
      </c>
      <c r="FE177" s="546">
        <f t="shared" si="181"/>
        <v>0</v>
      </c>
      <c r="FF177" s="546">
        <f t="shared" si="182"/>
        <v>0</v>
      </c>
      <c r="FG177" s="546">
        <f t="shared" si="183"/>
        <v>399819.00400000002</v>
      </c>
    </row>
    <row r="178" spans="153:163" ht="15" customHeight="1" x14ac:dyDescent="0.25">
      <c r="EW178" s="544"/>
      <c r="EX178" s="545"/>
      <c r="EY178" s="545"/>
      <c r="EZ178" s="545"/>
      <c r="FA178" s="545"/>
      <c r="FB178" s="545">
        <v>154982178</v>
      </c>
      <c r="FC178" s="546">
        <f t="shared" si="179"/>
        <v>0</v>
      </c>
      <c r="FD178" s="546">
        <f t="shared" si="180"/>
        <v>0</v>
      </c>
      <c r="FE178" s="546">
        <f t="shared" si="181"/>
        <v>0</v>
      </c>
      <c r="FF178" s="546">
        <f t="shared" si="182"/>
        <v>0</v>
      </c>
      <c r="FG178" s="546">
        <f t="shared" si="183"/>
        <v>154982.17800000001</v>
      </c>
    </row>
    <row r="179" spans="153:163" ht="15" customHeight="1" x14ac:dyDescent="0.25">
      <c r="EW179" s="544"/>
      <c r="EX179" s="545"/>
      <c r="EY179" s="545"/>
      <c r="EZ179" s="545"/>
      <c r="FA179" s="545"/>
      <c r="FB179" s="545">
        <v>176349326</v>
      </c>
      <c r="FC179" s="546">
        <f t="shared" si="179"/>
        <v>0</v>
      </c>
      <c r="FD179" s="546">
        <f t="shared" si="180"/>
        <v>0</v>
      </c>
      <c r="FE179" s="546">
        <f t="shared" si="181"/>
        <v>0</v>
      </c>
      <c r="FF179" s="546">
        <f t="shared" si="182"/>
        <v>0</v>
      </c>
      <c r="FG179" s="546">
        <f t="shared" si="183"/>
        <v>176349.326</v>
      </c>
    </row>
    <row r="180" spans="153:163" ht="15" customHeight="1" x14ac:dyDescent="0.25">
      <c r="EW180" s="544"/>
      <c r="EX180" s="545"/>
      <c r="EY180" s="545"/>
      <c r="EZ180" s="545"/>
      <c r="FA180" s="545"/>
      <c r="FB180" s="545">
        <v>199000</v>
      </c>
      <c r="FC180" s="546">
        <f t="shared" si="179"/>
        <v>0</v>
      </c>
      <c r="FD180" s="546">
        <f t="shared" si="180"/>
        <v>0</v>
      </c>
      <c r="FE180" s="546">
        <f t="shared" si="181"/>
        <v>0</v>
      </c>
      <c r="FF180" s="546">
        <f t="shared" si="182"/>
        <v>0</v>
      </c>
      <c r="FG180" s="546">
        <f t="shared" si="183"/>
        <v>199</v>
      </c>
    </row>
    <row r="181" spans="153:163" ht="15" customHeight="1" x14ac:dyDescent="0.25">
      <c r="EW181" s="544"/>
      <c r="EX181" s="545"/>
      <c r="EY181" s="545"/>
      <c r="EZ181" s="545"/>
      <c r="FA181" s="545"/>
      <c r="FB181" s="545">
        <v>288500</v>
      </c>
      <c r="FC181" s="546">
        <f t="shared" si="179"/>
        <v>0</v>
      </c>
      <c r="FD181" s="546">
        <f t="shared" si="180"/>
        <v>0</v>
      </c>
      <c r="FE181" s="546">
        <f t="shared" si="181"/>
        <v>0</v>
      </c>
      <c r="FF181" s="546">
        <f t="shared" si="182"/>
        <v>0</v>
      </c>
      <c r="FG181" s="546">
        <f t="shared" si="183"/>
        <v>288.5</v>
      </c>
    </row>
    <row r="182" spans="153:163" ht="15" customHeight="1" x14ac:dyDescent="0.25">
      <c r="EW182" s="544"/>
      <c r="EX182" s="545"/>
      <c r="EY182" s="545"/>
      <c r="EZ182" s="545"/>
      <c r="FA182" s="545"/>
      <c r="FB182" s="545">
        <v>68000000</v>
      </c>
      <c r="FC182" s="546">
        <f t="shared" si="179"/>
        <v>0</v>
      </c>
      <c r="FD182" s="546">
        <f t="shared" si="180"/>
        <v>0</v>
      </c>
      <c r="FE182" s="546">
        <f t="shared" si="181"/>
        <v>0</v>
      </c>
      <c r="FF182" s="546">
        <f t="shared" si="182"/>
        <v>0</v>
      </c>
      <c r="FG182" s="546">
        <f t="shared" si="183"/>
        <v>68000</v>
      </c>
    </row>
    <row r="183" spans="153:163" ht="15" customHeight="1" x14ac:dyDescent="0.25">
      <c r="EW183" s="544"/>
      <c r="EX183" s="545"/>
      <c r="EY183" s="545"/>
      <c r="EZ183" s="545"/>
      <c r="FA183" s="545"/>
      <c r="FB183" s="545">
        <v>157</v>
      </c>
      <c r="FC183" s="546">
        <f t="shared" si="179"/>
        <v>0</v>
      </c>
      <c r="FD183" s="546">
        <f t="shared" si="180"/>
        <v>0</v>
      </c>
      <c r="FE183" s="546">
        <f t="shared" si="181"/>
        <v>0</v>
      </c>
      <c r="FF183" s="546">
        <f t="shared" si="182"/>
        <v>0</v>
      </c>
      <c r="FG183" s="546">
        <f t="shared" si="183"/>
        <v>0.157</v>
      </c>
    </row>
    <row r="184" spans="153:163" ht="15" customHeight="1" x14ac:dyDescent="0.25">
      <c r="EW184" s="544"/>
      <c r="EX184" s="545"/>
      <c r="EY184" s="545"/>
      <c r="EZ184" s="545"/>
      <c r="FA184" s="545"/>
      <c r="FB184" s="545">
        <v>157</v>
      </c>
      <c r="FC184" s="546">
        <f t="shared" si="179"/>
        <v>0</v>
      </c>
      <c r="FD184" s="546">
        <f t="shared" si="180"/>
        <v>0</v>
      </c>
      <c r="FE184" s="546">
        <f t="shared" si="181"/>
        <v>0</v>
      </c>
      <c r="FF184" s="546">
        <f t="shared" si="182"/>
        <v>0</v>
      </c>
      <c r="FG184" s="546">
        <f t="shared" si="183"/>
        <v>0.157</v>
      </c>
    </row>
    <row r="185" spans="153:163" ht="15" customHeight="1" x14ac:dyDescent="0.25">
      <c r="EW185" s="544"/>
      <c r="EX185" s="545"/>
      <c r="EY185" s="545"/>
      <c r="EZ185" s="545"/>
      <c r="FA185" s="545"/>
      <c r="FB185" s="545">
        <v>1314651250</v>
      </c>
      <c r="FC185" s="546">
        <f t="shared" si="179"/>
        <v>0</v>
      </c>
      <c r="FD185" s="546">
        <f t="shared" si="180"/>
        <v>0</v>
      </c>
      <c r="FE185" s="546">
        <f t="shared" si="181"/>
        <v>0</v>
      </c>
      <c r="FF185" s="546">
        <f t="shared" si="182"/>
        <v>0</v>
      </c>
      <c r="FG185" s="546">
        <f t="shared" si="183"/>
        <v>1314651.25</v>
      </c>
    </row>
    <row r="186" spans="153:163" ht="15" customHeight="1" x14ac:dyDescent="0.25">
      <c r="EW186" s="544"/>
      <c r="EX186" s="545"/>
      <c r="EY186" s="545"/>
      <c r="EZ186" s="545"/>
      <c r="FA186" s="545"/>
      <c r="FB186" s="545">
        <v>1314651250</v>
      </c>
      <c r="FC186" s="546">
        <f t="shared" si="179"/>
        <v>0</v>
      </c>
      <c r="FD186" s="546">
        <f t="shared" si="180"/>
        <v>0</v>
      </c>
      <c r="FE186" s="546">
        <f t="shared" si="181"/>
        <v>0</v>
      </c>
      <c r="FF186" s="546">
        <f t="shared" si="182"/>
        <v>0</v>
      </c>
      <c r="FG186" s="546">
        <f t="shared" si="183"/>
        <v>1314651.25</v>
      </c>
    </row>
    <row r="187" spans="153:163" ht="15" customHeight="1" x14ac:dyDescent="0.25">
      <c r="EW187" s="544"/>
      <c r="EX187" s="545"/>
      <c r="EY187" s="545"/>
      <c r="EZ187" s="545"/>
      <c r="FA187" s="545"/>
      <c r="FB187" s="545">
        <v>15806</v>
      </c>
      <c r="FC187" s="546">
        <f t="shared" si="179"/>
        <v>0</v>
      </c>
      <c r="FD187" s="546">
        <f t="shared" si="180"/>
        <v>0</v>
      </c>
      <c r="FE187" s="546">
        <f t="shared" si="181"/>
        <v>0</v>
      </c>
      <c r="FF187" s="546">
        <f t="shared" si="182"/>
        <v>0</v>
      </c>
      <c r="FG187" s="546">
        <f t="shared" si="183"/>
        <v>15.805999999999999</v>
      </c>
    </row>
    <row r="188" spans="153:163" ht="15" customHeight="1" x14ac:dyDescent="0.25">
      <c r="EW188" s="544"/>
      <c r="EX188" s="545"/>
      <c r="EY188" s="545"/>
      <c r="EZ188" s="545"/>
      <c r="FA188" s="545"/>
      <c r="FB188" s="545">
        <v>1311578026</v>
      </c>
      <c r="FC188" s="546">
        <f t="shared" si="179"/>
        <v>0</v>
      </c>
      <c r="FD188" s="546">
        <f t="shared" si="180"/>
        <v>0</v>
      </c>
      <c r="FE188" s="546">
        <f t="shared" si="181"/>
        <v>0</v>
      </c>
      <c r="FF188" s="546">
        <f t="shared" si="182"/>
        <v>0</v>
      </c>
      <c r="FG188" s="546">
        <f t="shared" si="183"/>
        <v>1311578.0260000001</v>
      </c>
    </row>
    <row r="189" spans="153:163" ht="15" customHeight="1" x14ac:dyDescent="0.25">
      <c r="EW189" s="544"/>
      <c r="EX189" s="545"/>
      <c r="EY189" s="545"/>
      <c r="EZ189" s="545"/>
      <c r="FA189" s="545"/>
      <c r="FB189" s="545">
        <v>3057418</v>
      </c>
      <c r="FC189" s="546">
        <f t="shared" si="179"/>
        <v>0</v>
      </c>
      <c r="FD189" s="546">
        <f t="shared" si="180"/>
        <v>0</v>
      </c>
      <c r="FE189" s="546">
        <f t="shared" si="181"/>
        <v>0</v>
      </c>
      <c r="FF189" s="546">
        <f t="shared" si="182"/>
        <v>0</v>
      </c>
      <c r="FG189" s="546">
        <f t="shared" si="183"/>
        <v>3057.4180000000001</v>
      </c>
    </row>
    <row r="190" spans="153:163" ht="15" customHeight="1" x14ac:dyDescent="0.25">
      <c r="EW190" s="544"/>
      <c r="EX190" s="545"/>
      <c r="EY190" s="545"/>
      <c r="EZ190" s="545"/>
      <c r="FA190" s="545"/>
      <c r="FB190" s="545">
        <v>3223669111</v>
      </c>
      <c r="FC190" s="546">
        <f t="shared" si="179"/>
        <v>0</v>
      </c>
      <c r="FD190" s="546">
        <f t="shared" si="180"/>
        <v>0</v>
      </c>
      <c r="FE190" s="546">
        <f t="shared" si="181"/>
        <v>0</v>
      </c>
      <c r="FF190" s="546">
        <f t="shared" si="182"/>
        <v>0</v>
      </c>
      <c r="FG190" s="546">
        <f t="shared" si="183"/>
        <v>3223669.111</v>
      </c>
    </row>
    <row r="191" spans="153:163" ht="15" customHeight="1" x14ac:dyDescent="0.25">
      <c r="EW191" s="544"/>
      <c r="EX191" s="545"/>
      <c r="EY191" s="545"/>
      <c r="EZ191" s="545"/>
      <c r="FA191" s="545"/>
      <c r="FB191" s="545">
        <v>3223669111</v>
      </c>
      <c r="FC191" s="546">
        <f t="shared" si="179"/>
        <v>0</v>
      </c>
      <c r="FD191" s="546">
        <f t="shared" si="180"/>
        <v>0</v>
      </c>
      <c r="FE191" s="546">
        <f t="shared" si="181"/>
        <v>0</v>
      </c>
      <c r="FF191" s="546">
        <f t="shared" si="182"/>
        <v>0</v>
      </c>
      <c r="FG191" s="546">
        <f t="shared" si="183"/>
        <v>3223669.111</v>
      </c>
    </row>
    <row r="192" spans="153:163" ht="15" customHeight="1" x14ac:dyDescent="0.25">
      <c r="EW192" s="544"/>
      <c r="EX192" s="545"/>
      <c r="EY192" s="545"/>
      <c r="EZ192" s="545"/>
      <c r="FA192" s="545"/>
      <c r="FB192" s="545">
        <v>3223669111</v>
      </c>
      <c r="FC192" s="546">
        <f t="shared" si="179"/>
        <v>0</v>
      </c>
      <c r="FD192" s="546">
        <f t="shared" si="180"/>
        <v>0</v>
      </c>
      <c r="FE192" s="546">
        <f t="shared" si="181"/>
        <v>0</v>
      </c>
      <c r="FF192" s="546">
        <f t="shared" si="182"/>
        <v>0</v>
      </c>
      <c r="FG192" s="546">
        <f t="shared" si="183"/>
        <v>3223669.111</v>
      </c>
    </row>
    <row r="193" spans="153:163" ht="15" customHeight="1" x14ac:dyDescent="0.25">
      <c r="EW193" s="544"/>
      <c r="EX193" s="545"/>
      <c r="EY193" s="545"/>
      <c r="EZ193" s="545"/>
      <c r="FA193" s="545"/>
      <c r="FB193" s="545">
        <v>243</v>
      </c>
      <c r="FC193" s="546">
        <f t="shared" si="179"/>
        <v>0</v>
      </c>
      <c r="FD193" s="546">
        <f t="shared" si="180"/>
        <v>0</v>
      </c>
      <c r="FE193" s="546">
        <f t="shared" si="181"/>
        <v>0</v>
      </c>
      <c r="FF193" s="546">
        <f t="shared" si="182"/>
        <v>0</v>
      </c>
      <c r="FG193" s="546">
        <f t="shared" si="183"/>
        <v>0.24299999999999999</v>
      </c>
    </row>
    <row r="194" spans="153:163" ht="15" customHeight="1" x14ac:dyDescent="0.25">
      <c r="EW194" s="544"/>
      <c r="EX194" s="545"/>
      <c r="EY194" s="545"/>
      <c r="EZ194" s="545"/>
      <c r="FA194" s="545"/>
      <c r="FB194" s="545">
        <v>243</v>
      </c>
      <c r="FC194" s="546">
        <f t="shared" si="179"/>
        <v>0</v>
      </c>
      <c r="FD194" s="546">
        <f t="shared" si="180"/>
        <v>0</v>
      </c>
      <c r="FE194" s="546">
        <f t="shared" si="181"/>
        <v>0</v>
      </c>
      <c r="FF194" s="546">
        <f t="shared" si="182"/>
        <v>0</v>
      </c>
      <c r="FG194" s="546">
        <f t="shared" si="183"/>
        <v>0.24299999999999999</v>
      </c>
    </row>
    <row r="195" spans="153:163" ht="15" customHeight="1" x14ac:dyDescent="0.25">
      <c r="EW195" s="544"/>
      <c r="EX195" s="545"/>
      <c r="EY195" s="545"/>
      <c r="EZ195" s="545"/>
      <c r="FA195" s="545"/>
      <c r="FB195" s="545">
        <v>243</v>
      </c>
      <c r="FC195" s="546">
        <f t="shared" si="179"/>
        <v>0</v>
      </c>
      <c r="FD195" s="546">
        <f t="shared" si="180"/>
        <v>0</v>
      </c>
      <c r="FE195" s="546">
        <f t="shared" si="181"/>
        <v>0</v>
      </c>
      <c r="FF195" s="546">
        <f t="shared" si="182"/>
        <v>0</v>
      </c>
      <c r="FG195" s="546">
        <f t="shared" si="183"/>
        <v>0.24299999999999999</v>
      </c>
    </row>
    <row r="196" spans="153:163" ht="15" customHeight="1" x14ac:dyDescent="0.25">
      <c r="EW196" s="544"/>
      <c r="EX196" s="545"/>
      <c r="EY196" s="545"/>
      <c r="EZ196" s="545"/>
      <c r="FA196" s="545"/>
      <c r="FB196" s="545">
        <v>36034308636</v>
      </c>
      <c r="FC196" s="546">
        <f t="shared" ref="FC196:FC223" si="211">+EX196/$FF$1*$FG$1</f>
        <v>0</v>
      </c>
      <c r="FD196" s="546">
        <f t="shared" ref="FD196:FD223" si="212">+EY196/$FF$1*$FG$1</f>
        <v>0</v>
      </c>
      <c r="FE196" s="546">
        <f t="shared" ref="FE196:FE223" si="213">+EZ196/$FF$1*$FG$1</f>
        <v>0</v>
      </c>
      <c r="FF196" s="546">
        <f t="shared" ref="FF196:FF223" si="214">+FA196/$FF$1*$FG$1</f>
        <v>0</v>
      </c>
      <c r="FG196" s="546">
        <f t="shared" ref="FG196:FG223" si="215">+FB196/$FF$1*$FG$1</f>
        <v>36034308.636</v>
      </c>
    </row>
    <row r="197" spans="153:163" ht="15" customHeight="1" x14ac:dyDescent="0.25">
      <c r="EW197" s="544"/>
      <c r="EX197" s="545"/>
      <c r="EY197" s="545"/>
      <c r="EZ197" s="545"/>
      <c r="FA197" s="545"/>
      <c r="FB197" s="545">
        <v>36034308636</v>
      </c>
      <c r="FC197" s="546">
        <f t="shared" si="211"/>
        <v>0</v>
      </c>
      <c r="FD197" s="546">
        <f t="shared" si="212"/>
        <v>0</v>
      </c>
      <c r="FE197" s="546">
        <f t="shared" si="213"/>
        <v>0</v>
      </c>
      <c r="FF197" s="546">
        <f t="shared" si="214"/>
        <v>0</v>
      </c>
      <c r="FG197" s="546">
        <f t="shared" si="215"/>
        <v>36034308.636</v>
      </c>
    </row>
    <row r="198" spans="153:163" ht="15" customHeight="1" x14ac:dyDescent="0.25">
      <c r="EW198" s="544"/>
      <c r="EX198" s="545"/>
      <c r="EY198" s="545"/>
      <c r="EZ198" s="545"/>
      <c r="FA198" s="545"/>
      <c r="FB198" s="545">
        <v>2244661956</v>
      </c>
      <c r="FC198" s="546">
        <f t="shared" si="211"/>
        <v>0</v>
      </c>
      <c r="FD198" s="546">
        <f t="shared" si="212"/>
        <v>0</v>
      </c>
      <c r="FE198" s="546">
        <f t="shared" si="213"/>
        <v>0</v>
      </c>
      <c r="FF198" s="546">
        <f t="shared" si="214"/>
        <v>0</v>
      </c>
      <c r="FG198" s="546">
        <f t="shared" si="215"/>
        <v>2244661.9559999998</v>
      </c>
    </row>
    <row r="199" spans="153:163" ht="15" customHeight="1" x14ac:dyDescent="0.25">
      <c r="EW199" s="544"/>
      <c r="EX199" s="545"/>
      <c r="EY199" s="545"/>
      <c r="EZ199" s="545"/>
      <c r="FA199" s="545"/>
      <c r="FB199" s="545">
        <v>1535245917</v>
      </c>
      <c r="FC199" s="546">
        <f t="shared" si="211"/>
        <v>0</v>
      </c>
      <c r="FD199" s="546">
        <f t="shared" si="212"/>
        <v>0</v>
      </c>
      <c r="FE199" s="546">
        <f t="shared" si="213"/>
        <v>0</v>
      </c>
      <c r="FF199" s="546">
        <f t="shared" si="214"/>
        <v>0</v>
      </c>
      <c r="FG199" s="546">
        <f t="shared" si="215"/>
        <v>1535245.9169999999</v>
      </c>
    </row>
    <row r="200" spans="153:163" ht="15" customHeight="1" x14ac:dyDescent="0.25">
      <c r="EW200" s="544"/>
      <c r="EX200" s="545"/>
      <c r="EY200" s="545"/>
      <c r="EZ200" s="545"/>
      <c r="FA200" s="545"/>
      <c r="FB200" s="545">
        <v>691179618</v>
      </c>
      <c r="FC200" s="546">
        <f t="shared" si="211"/>
        <v>0</v>
      </c>
      <c r="FD200" s="546">
        <f t="shared" si="212"/>
        <v>0</v>
      </c>
      <c r="FE200" s="546">
        <f t="shared" si="213"/>
        <v>0</v>
      </c>
      <c r="FF200" s="546">
        <f t="shared" si="214"/>
        <v>0</v>
      </c>
      <c r="FG200" s="546">
        <f t="shared" si="215"/>
        <v>691179.61800000002</v>
      </c>
    </row>
    <row r="201" spans="153:163" ht="15" customHeight="1" x14ac:dyDescent="0.25">
      <c r="EW201" s="544"/>
      <c r="EX201" s="545"/>
      <c r="EY201" s="545"/>
      <c r="EZ201" s="545"/>
      <c r="FA201" s="545"/>
      <c r="FB201" s="545">
        <v>735584</v>
      </c>
      <c r="FC201" s="546">
        <f t="shared" si="211"/>
        <v>0</v>
      </c>
      <c r="FD201" s="546">
        <f t="shared" si="212"/>
        <v>0</v>
      </c>
      <c r="FE201" s="546">
        <f t="shared" si="213"/>
        <v>0</v>
      </c>
      <c r="FF201" s="546">
        <f t="shared" si="214"/>
        <v>0</v>
      </c>
      <c r="FG201" s="546">
        <f t="shared" si="215"/>
        <v>735.58399999999995</v>
      </c>
    </row>
    <row r="202" spans="153:163" ht="15" customHeight="1" x14ac:dyDescent="0.25">
      <c r="EW202" s="544"/>
      <c r="EX202" s="545"/>
      <c r="EY202" s="545"/>
      <c r="EZ202" s="545"/>
      <c r="FA202" s="545"/>
      <c r="FB202" s="545">
        <v>17500837</v>
      </c>
      <c r="FC202" s="546">
        <f t="shared" si="211"/>
        <v>0</v>
      </c>
      <c r="FD202" s="546">
        <f t="shared" si="212"/>
        <v>0</v>
      </c>
      <c r="FE202" s="546">
        <f t="shared" si="213"/>
        <v>0</v>
      </c>
      <c r="FF202" s="546">
        <f t="shared" si="214"/>
        <v>0</v>
      </c>
      <c r="FG202" s="546">
        <f t="shared" si="215"/>
        <v>17500.837</v>
      </c>
    </row>
    <row r="203" spans="153:163" ht="15" customHeight="1" x14ac:dyDescent="0.25">
      <c r="EW203" s="544"/>
      <c r="EX203" s="545"/>
      <c r="EY203" s="545"/>
      <c r="EZ203" s="545"/>
      <c r="FA203" s="545"/>
      <c r="FB203" s="545">
        <v>25363322102</v>
      </c>
      <c r="FC203" s="546">
        <f t="shared" si="211"/>
        <v>0</v>
      </c>
      <c r="FD203" s="546">
        <f t="shared" si="212"/>
        <v>0</v>
      </c>
      <c r="FE203" s="546">
        <f t="shared" si="213"/>
        <v>0</v>
      </c>
      <c r="FF203" s="546">
        <f t="shared" si="214"/>
        <v>0</v>
      </c>
      <c r="FG203" s="546">
        <f t="shared" si="215"/>
        <v>25363322.102000002</v>
      </c>
    </row>
    <row r="204" spans="153:163" ht="15" customHeight="1" x14ac:dyDescent="0.25">
      <c r="EW204" s="544"/>
      <c r="EX204" s="545"/>
      <c r="EY204" s="545"/>
      <c r="EZ204" s="545"/>
      <c r="FA204" s="545"/>
      <c r="FB204" s="545">
        <v>2098293108</v>
      </c>
      <c r="FC204" s="546">
        <f t="shared" si="211"/>
        <v>0</v>
      </c>
      <c r="FD204" s="546">
        <f t="shared" si="212"/>
        <v>0</v>
      </c>
      <c r="FE204" s="546">
        <f t="shared" si="213"/>
        <v>0</v>
      </c>
      <c r="FF204" s="546">
        <f t="shared" si="214"/>
        <v>0</v>
      </c>
      <c r="FG204" s="546">
        <f t="shared" si="215"/>
        <v>2098293.108</v>
      </c>
    </row>
    <row r="205" spans="153:163" ht="15" customHeight="1" x14ac:dyDescent="0.25">
      <c r="EW205" s="544"/>
      <c r="EX205" s="545"/>
      <c r="EY205" s="545"/>
      <c r="EZ205" s="545"/>
      <c r="FA205" s="545"/>
      <c r="FB205" s="545">
        <v>180216862</v>
      </c>
      <c r="FC205" s="546">
        <f t="shared" si="211"/>
        <v>0</v>
      </c>
      <c r="FD205" s="546">
        <f t="shared" si="212"/>
        <v>0</v>
      </c>
      <c r="FE205" s="546">
        <f t="shared" si="213"/>
        <v>0</v>
      </c>
      <c r="FF205" s="546">
        <f t="shared" si="214"/>
        <v>0</v>
      </c>
      <c r="FG205" s="546">
        <f t="shared" si="215"/>
        <v>180216.86199999999</v>
      </c>
    </row>
    <row r="206" spans="153:163" ht="15" customHeight="1" x14ac:dyDescent="0.25">
      <c r="EW206" s="544"/>
      <c r="EX206" s="545"/>
      <c r="EY206" s="545"/>
      <c r="EZ206" s="545"/>
      <c r="FA206" s="545"/>
      <c r="FB206" s="545">
        <v>692885577</v>
      </c>
      <c r="FC206" s="546">
        <f t="shared" si="211"/>
        <v>0</v>
      </c>
      <c r="FD206" s="546">
        <f t="shared" si="212"/>
        <v>0</v>
      </c>
      <c r="FE206" s="546">
        <f t="shared" si="213"/>
        <v>0</v>
      </c>
      <c r="FF206" s="546">
        <f t="shared" si="214"/>
        <v>0</v>
      </c>
      <c r="FG206" s="546">
        <f t="shared" si="215"/>
        <v>692885.57700000005</v>
      </c>
    </row>
    <row r="207" spans="153:163" ht="15" customHeight="1" x14ac:dyDescent="0.25">
      <c r="EW207" s="544"/>
      <c r="EX207" s="545"/>
      <c r="EY207" s="545"/>
      <c r="EZ207" s="545"/>
      <c r="FA207" s="545"/>
      <c r="FB207" s="545">
        <v>2163814583</v>
      </c>
      <c r="FC207" s="546">
        <f t="shared" si="211"/>
        <v>0</v>
      </c>
      <c r="FD207" s="546">
        <f t="shared" si="212"/>
        <v>0</v>
      </c>
      <c r="FE207" s="546">
        <f t="shared" si="213"/>
        <v>0</v>
      </c>
      <c r="FF207" s="546">
        <f t="shared" si="214"/>
        <v>0</v>
      </c>
      <c r="FG207" s="546">
        <f t="shared" si="215"/>
        <v>2163814.5830000001</v>
      </c>
    </row>
    <row r="208" spans="153:163" ht="15" customHeight="1" x14ac:dyDescent="0.25">
      <c r="EW208" s="544"/>
      <c r="EX208" s="545"/>
      <c r="EY208" s="545"/>
      <c r="EZ208" s="545"/>
      <c r="FA208" s="545"/>
      <c r="FB208" s="545">
        <v>2398297068</v>
      </c>
      <c r="FC208" s="546">
        <f t="shared" si="211"/>
        <v>0</v>
      </c>
      <c r="FD208" s="546">
        <f t="shared" si="212"/>
        <v>0</v>
      </c>
      <c r="FE208" s="546">
        <f t="shared" si="213"/>
        <v>0</v>
      </c>
      <c r="FF208" s="546">
        <f t="shared" si="214"/>
        <v>0</v>
      </c>
      <c r="FG208" s="546">
        <f t="shared" si="215"/>
        <v>2398297.068</v>
      </c>
    </row>
    <row r="209" spans="153:163" ht="15" customHeight="1" x14ac:dyDescent="0.25">
      <c r="EW209" s="544"/>
      <c r="EX209" s="545"/>
      <c r="EY209" s="545"/>
      <c r="EZ209" s="545"/>
      <c r="FA209" s="545"/>
      <c r="FB209" s="545">
        <v>17829814904</v>
      </c>
      <c r="FC209" s="546">
        <f t="shared" si="211"/>
        <v>0</v>
      </c>
      <c r="FD209" s="546">
        <f t="shared" si="212"/>
        <v>0</v>
      </c>
      <c r="FE209" s="546">
        <f t="shared" si="213"/>
        <v>0</v>
      </c>
      <c r="FF209" s="546">
        <f t="shared" si="214"/>
        <v>0</v>
      </c>
      <c r="FG209" s="546">
        <f t="shared" si="215"/>
        <v>17829814.903999999</v>
      </c>
    </row>
    <row r="210" spans="153:163" ht="15" customHeight="1" x14ac:dyDescent="0.25">
      <c r="EW210" s="544"/>
      <c r="EX210" s="545"/>
      <c r="EY210" s="545"/>
      <c r="EZ210" s="545"/>
      <c r="FA210" s="545"/>
      <c r="FB210" s="545">
        <v>3760735843</v>
      </c>
      <c r="FC210" s="546">
        <f t="shared" si="211"/>
        <v>0</v>
      </c>
      <c r="FD210" s="546">
        <f t="shared" si="212"/>
        <v>0</v>
      </c>
      <c r="FE210" s="546">
        <f t="shared" si="213"/>
        <v>0</v>
      </c>
      <c r="FF210" s="546">
        <f t="shared" si="214"/>
        <v>0</v>
      </c>
      <c r="FG210" s="546">
        <f t="shared" si="215"/>
        <v>3760735.8429999999</v>
      </c>
    </row>
    <row r="211" spans="153:163" ht="15" customHeight="1" x14ac:dyDescent="0.25">
      <c r="EW211" s="544"/>
      <c r="EX211" s="545"/>
      <c r="EY211" s="545"/>
      <c r="EZ211" s="545"/>
      <c r="FA211" s="545"/>
      <c r="FB211" s="545">
        <v>0</v>
      </c>
      <c r="FC211" s="546">
        <f t="shared" si="211"/>
        <v>0</v>
      </c>
      <c r="FD211" s="546">
        <f t="shared" si="212"/>
        <v>0</v>
      </c>
      <c r="FE211" s="546">
        <f t="shared" si="213"/>
        <v>0</v>
      </c>
      <c r="FF211" s="546">
        <f t="shared" si="214"/>
        <v>0</v>
      </c>
      <c r="FG211" s="546">
        <f t="shared" si="215"/>
        <v>0</v>
      </c>
    </row>
    <row r="212" spans="153:163" ht="15" customHeight="1" x14ac:dyDescent="0.25">
      <c r="EW212" s="544"/>
      <c r="EX212" s="545"/>
      <c r="EY212" s="545"/>
      <c r="EZ212" s="545"/>
      <c r="FA212" s="545"/>
      <c r="FB212" s="545">
        <v>2320400378</v>
      </c>
      <c r="FC212" s="546">
        <f t="shared" si="211"/>
        <v>0</v>
      </c>
      <c r="FD212" s="546">
        <f t="shared" si="212"/>
        <v>0</v>
      </c>
      <c r="FE212" s="546">
        <f t="shared" si="213"/>
        <v>0</v>
      </c>
      <c r="FF212" s="546">
        <f t="shared" si="214"/>
        <v>0</v>
      </c>
      <c r="FG212" s="546">
        <f t="shared" si="215"/>
        <v>2320400.378</v>
      </c>
    </row>
    <row r="213" spans="153:163" ht="15" customHeight="1" x14ac:dyDescent="0.25">
      <c r="EW213" s="544"/>
      <c r="EX213" s="545"/>
      <c r="EY213" s="545"/>
      <c r="EZ213" s="545"/>
      <c r="FA213" s="545"/>
      <c r="FB213" s="545">
        <v>2345188357</v>
      </c>
      <c r="FC213" s="546">
        <f t="shared" si="211"/>
        <v>0</v>
      </c>
      <c r="FD213" s="546">
        <f t="shared" si="212"/>
        <v>0</v>
      </c>
      <c r="FE213" s="546">
        <f t="shared" si="213"/>
        <v>0</v>
      </c>
      <c r="FF213" s="546">
        <f t="shared" si="214"/>
        <v>0</v>
      </c>
      <c r="FG213" s="546">
        <f t="shared" si="215"/>
        <v>2345188.3569999998</v>
      </c>
    </row>
    <row r="214" spans="153:163" ht="15" customHeight="1" x14ac:dyDescent="0.25">
      <c r="EW214" s="544"/>
      <c r="EX214" s="545"/>
      <c r="EY214" s="545"/>
      <c r="EZ214" s="545"/>
      <c r="FA214" s="545"/>
      <c r="FB214" s="545">
        <v>497</v>
      </c>
      <c r="FC214" s="546">
        <f t="shared" si="211"/>
        <v>0</v>
      </c>
      <c r="FD214" s="546">
        <f t="shared" si="212"/>
        <v>0</v>
      </c>
      <c r="FE214" s="546">
        <f t="shared" si="213"/>
        <v>0</v>
      </c>
      <c r="FF214" s="546">
        <f t="shared" si="214"/>
        <v>0</v>
      </c>
      <c r="FG214" s="546">
        <f t="shared" si="215"/>
        <v>0.497</v>
      </c>
    </row>
    <row r="215" spans="153:163" ht="15" customHeight="1" x14ac:dyDescent="0.25">
      <c r="EW215" s="544"/>
      <c r="EX215" s="545"/>
      <c r="EY215" s="545"/>
      <c r="EZ215" s="545"/>
      <c r="FA215" s="545"/>
      <c r="FB215" s="545">
        <v>497</v>
      </c>
      <c r="FC215" s="546">
        <f t="shared" si="211"/>
        <v>0</v>
      </c>
      <c r="FD215" s="546">
        <f t="shared" si="212"/>
        <v>0</v>
      </c>
      <c r="FE215" s="546">
        <f t="shared" si="213"/>
        <v>0</v>
      </c>
      <c r="FF215" s="546">
        <f t="shared" si="214"/>
        <v>0</v>
      </c>
      <c r="FG215" s="546">
        <f t="shared" si="215"/>
        <v>0.497</v>
      </c>
    </row>
    <row r="216" spans="153:163" ht="15" customHeight="1" x14ac:dyDescent="0.25">
      <c r="EW216" s="544"/>
      <c r="EX216" s="545"/>
      <c r="EY216" s="545"/>
      <c r="EZ216" s="545"/>
      <c r="FA216" s="545"/>
      <c r="FB216" s="545">
        <v>-2334420900</v>
      </c>
      <c r="FC216" s="546">
        <f t="shared" si="211"/>
        <v>0</v>
      </c>
      <c r="FD216" s="546">
        <f t="shared" si="212"/>
        <v>0</v>
      </c>
      <c r="FE216" s="546">
        <f t="shared" si="213"/>
        <v>0</v>
      </c>
      <c r="FF216" s="546">
        <f t="shared" si="214"/>
        <v>0</v>
      </c>
      <c r="FG216" s="546">
        <f t="shared" si="215"/>
        <v>-2334420.9</v>
      </c>
    </row>
    <row r="217" spans="153:163" ht="15" customHeight="1" x14ac:dyDescent="0.25">
      <c r="EW217" s="544"/>
      <c r="EX217" s="545"/>
      <c r="EY217" s="545"/>
      <c r="EZ217" s="545"/>
      <c r="FA217" s="545"/>
      <c r="FB217" s="545">
        <v>-2334420900</v>
      </c>
      <c r="FC217" s="546">
        <f t="shared" si="211"/>
        <v>0</v>
      </c>
      <c r="FD217" s="546">
        <f t="shared" si="212"/>
        <v>0</v>
      </c>
      <c r="FE217" s="546">
        <f t="shared" si="213"/>
        <v>0</v>
      </c>
      <c r="FF217" s="546">
        <f t="shared" si="214"/>
        <v>0</v>
      </c>
      <c r="FG217" s="546">
        <f t="shared" si="215"/>
        <v>-2334420.9</v>
      </c>
    </row>
    <row r="218" spans="153:163" ht="15" customHeight="1" x14ac:dyDescent="0.25">
      <c r="EW218" s="544"/>
      <c r="EX218" s="545"/>
      <c r="EY218" s="545"/>
      <c r="EZ218" s="545"/>
      <c r="FA218" s="545"/>
      <c r="FB218" s="545">
        <v>-2334420900</v>
      </c>
      <c r="FC218" s="546">
        <f t="shared" si="211"/>
        <v>0</v>
      </c>
      <c r="FD218" s="546">
        <f t="shared" si="212"/>
        <v>0</v>
      </c>
      <c r="FE218" s="546">
        <f t="shared" si="213"/>
        <v>0</v>
      </c>
      <c r="FF218" s="546">
        <f t="shared" si="214"/>
        <v>0</v>
      </c>
      <c r="FG218" s="546">
        <f t="shared" si="215"/>
        <v>-2334420.9</v>
      </c>
    </row>
    <row r="219" spans="153:163" ht="15" customHeight="1" x14ac:dyDescent="0.25">
      <c r="EW219" s="544"/>
      <c r="EX219" s="545"/>
      <c r="EY219" s="545"/>
      <c r="EZ219" s="545"/>
      <c r="FA219" s="545"/>
      <c r="FB219" s="545">
        <v>10267152000</v>
      </c>
      <c r="FC219" s="546">
        <f t="shared" si="211"/>
        <v>0</v>
      </c>
      <c r="FD219" s="546">
        <f t="shared" si="212"/>
        <v>0</v>
      </c>
      <c r="FE219" s="546">
        <f t="shared" si="213"/>
        <v>0</v>
      </c>
      <c r="FF219" s="546">
        <f t="shared" si="214"/>
        <v>0</v>
      </c>
      <c r="FG219" s="546">
        <f t="shared" si="215"/>
        <v>10267152</v>
      </c>
    </row>
    <row r="220" spans="153:163" ht="15" customHeight="1" x14ac:dyDescent="0.25">
      <c r="EW220" s="544"/>
      <c r="EX220" s="545"/>
      <c r="EY220" s="545"/>
      <c r="EZ220" s="545"/>
      <c r="FA220" s="545"/>
      <c r="FB220" s="545">
        <v>10267152000</v>
      </c>
      <c r="FC220" s="546">
        <f t="shared" si="211"/>
        <v>0</v>
      </c>
      <c r="FD220" s="546">
        <f t="shared" si="212"/>
        <v>0</v>
      </c>
      <c r="FE220" s="546">
        <f t="shared" si="213"/>
        <v>0</v>
      </c>
      <c r="FF220" s="546">
        <f t="shared" si="214"/>
        <v>0</v>
      </c>
      <c r="FG220" s="546">
        <f t="shared" si="215"/>
        <v>10267152</v>
      </c>
    </row>
    <row r="221" spans="153:163" ht="15" customHeight="1" x14ac:dyDescent="0.25">
      <c r="EW221" s="544"/>
      <c r="EX221" s="545"/>
      <c r="EY221" s="545"/>
      <c r="EZ221" s="545"/>
      <c r="FA221" s="545"/>
      <c r="FB221" s="545">
        <v>10267152000</v>
      </c>
      <c r="FC221" s="546">
        <f t="shared" si="211"/>
        <v>0</v>
      </c>
      <c r="FD221" s="546">
        <f t="shared" si="212"/>
        <v>0</v>
      </c>
      <c r="FE221" s="546">
        <f t="shared" si="213"/>
        <v>0</v>
      </c>
      <c r="FF221" s="546">
        <f t="shared" si="214"/>
        <v>0</v>
      </c>
      <c r="FG221" s="546">
        <f t="shared" si="215"/>
        <v>10267152</v>
      </c>
    </row>
    <row r="222" spans="153:163" ht="15" customHeight="1" x14ac:dyDescent="0.25">
      <c r="EW222" s="544"/>
      <c r="EX222" s="545"/>
      <c r="EY222" s="545"/>
      <c r="EZ222" s="545"/>
      <c r="FA222" s="545"/>
      <c r="FB222" s="545">
        <v>100</v>
      </c>
      <c r="FC222" s="546">
        <f t="shared" si="211"/>
        <v>0</v>
      </c>
      <c r="FD222" s="546">
        <f t="shared" si="212"/>
        <v>0</v>
      </c>
      <c r="FE222" s="546">
        <f t="shared" si="213"/>
        <v>0</v>
      </c>
      <c r="FF222" s="546">
        <f t="shared" si="214"/>
        <v>0</v>
      </c>
      <c r="FG222" s="546">
        <f t="shared" si="215"/>
        <v>0.1</v>
      </c>
    </row>
    <row r="223" spans="153:163" ht="15" customHeight="1" x14ac:dyDescent="0.25">
      <c r="EW223" s="544"/>
      <c r="EX223" s="545"/>
      <c r="EY223" s="545"/>
      <c r="EZ223" s="545"/>
      <c r="FA223" s="545"/>
      <c r="FB223" s="545">
        <v>100</v>
      </c>
      <c r="FC223" s="546">
        <f t="shared" si="211"/>
        <v>0</v>
      </c>
      <c r="FD223" s="546">
        <f t="shared" si="212"/>
        <v>0</v>
      </c>
      <c r="FE223" s="546">
        <f t="shared" si="213"/>
        <v>0</v>
      </c>
      <c r="FF223" s="546">
        <f t="shared" si="214"/>
        <v>0</v>
      </c>
      <c r="FG223" s="546">
        <f t="shared" si="215"/>
        <v>0.1</v>
      </c>
    </row>
    <row r="226" spans="159:159" ht="15" customHeight="1" x14ac:dyDescent="0.25">
      <c r="FC226" s="547"/>
    </row>
  </sheetData>
  <autoFilter ref="A2:FU2" xr:uid="{00000000-0001-0000-0300-000000000000}"/>
  <mergeCells count="15">
    <mergeCell ref="A1:G1"/>
    <mergeCell ref="S1:Y1"/>
    <mergeCell ref="AG1:AM1"/>
    <mergeCell ref="AV1:BB1"/>
    <mergeCell ref="BG1:BI1"/>
    <mergeCell ref="FN1:FQ1"/>
    <mergeCell ref="ER1:ES1"/>
    <mergeCell ref="EW1:FE1"/>
    <mergeCell ref="DT1:DZ1"/>
    <mergeCell ref="BK1:BQ1"/>
    <mergeCell ref="CZ1:DA1"/>
    <mergeCell ref="DE1:DI1"/>
    <mergeCell ref="CK1:CL1"/>
    <mergeCell ref="CP1:CS1"/>
    <mergeCell ref="BZ1:CF1"/>
  </mergeCells>
  <pageMargins left="0.7" right="0.7" top="0.75" bottom="0.75" header="0.3" footer="0.3"/>
  <pageSetup paperSize="9" orientation="portrait" horizontalDpi="0" verticalDpi="0" r:id="rId1"/>
  <ignoredErrors>
    <ignoredError sqref="A3:A149"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3DB6-42EE-4332-8A27-379DA00EBEE9}">
  <dimension ref="A1:AC47"/>
  <sheetViews>
    <sheetView topLeftCell="K22" zoomScale="90" zoomScaleNormal="90" workbookViewId="0">
      <selection activeCell="R3" sqref="R3:R9"/>
    </sheetView>
  </sheetViews>
  <sheetFormatPr baseColWidth="10" defaultColWidth="11.5703125" defaultRowHeight="15" x14ac:dyDescent="0.25"/>
  <cols>
    <col min="1" max="1" width="0" style="649" hidden="1" customWidth="1"/>
    <col min="2" max="2" width="33.5703125" style="592" hidden="1" customWidth="1"/>
    <col min="3" max="3" width="0" style="649" hidden="1" customWidth="1"/>
    <col min="4" max="4" width="34.7109375" style="592" hidden="1" customWidth="1"/>
    <col min="5" max="7" width="13.5703125" style="592" hidden="1" customWidth="1"/>
    <col min="8" max="10" width="0" style="649" hidden="1" customWidth="1"/>
    <col min="11" max="11" width="11.5703125" style="592"/>
    <col min="12" max="12" width="0" style="592" hidden="1" customWidth="1"/>
    <col min="13" max="19" width="11.5703125" style="592"/>
    <col min="20" max="20" width="7.28515625" style="592" customWidth="1"/>
    <col min="21" max="21" width="22.42578125" style="592" customWidth="1"/>
    <col min="22" max="22" width="11.5703125" style="649"/>
    <col min="23" max="23" width="11.5703125" style="592"/>
    <col min="24" max="26" width="0" style="592" hidden="1" customWidth="1"/>
    <col min="27" max="27" width="11.5703125" style="52"/>
    <col min="28" max="16384" width="11.5703125" style="592"/>
  </cols>
  <sheetData>
    <row r="1" spans="1:29" x14ac:dyDescent="0.25">
      <c r="A1" s="1302" t="s">
        <v>1032</v>
      </c>
      <c r="B1" s="1303"/>
      <c r="C1" s="1303"/>
      <c r="D1" s="1303"/>
      <c r="E1" s="1303"/>
      <c r="F1" s="1303"/>
      <c r="G1" s="1303"/>
      <c r="H1" s="650"/>
      <c r="I1" s="650">
        <v>1000</v>
      </c>
      <c r="J1" s="650">
        <v>1</v>
      </c>
      <c r="M1" s="1304" t="s">
        <v>136</v>
      </c>
      <c r="N1" s="1304"/>
      <c r="O1" s="1304"/>
      <c r="P1" s="1304"/>
      <c r="Q1" s="986">
        <v>1000</v>
      </c>
      <c r="R1" s="986">
        <v>1</v>
      </c>
      <c r="T1" s="1304" t="s">
        <v>1068</v>
      </c>
      <c r="U1" s="1304"/>
      <c r="V1" s="1304"/>
      <c r="W1" s="1304"/>
      <c r="X1" s="1304"/>
      <c r="Y1" s="1304"/>
      <c r="Z1" s="1304"/>
      <c r="AA1" s="988"/>
      <c r="AB1" s="986">
        <v>1000</v>
      </c>
      <c r="AC1" s="986">
        <v>1</v>
      </c>
    </row>
    <row r="2" spans="1:29" ht="27" x14ac:dyDescent="0.25">
      <c r="A2" s="651" t="s">
        <v>410</v>
      </c>
      <c r="B2" s="651" t="s">
        <v>435</v>
      </c>
      <c r="C2" s="651" t="s">
        <v>411</v>
      </c>
      <c r="D2" s="651" t="s">
        <v>505</v>
      </c>
      <c r="E2" s="651" t="s">
        <v>447</v>
      </c>
      <c r="F2" s="651" t="s">
        <v>413</v>
      </c>
      <c r="G2" s="651" t="s">
        <v>466</v>
      </c>
      <c r="H2" s="651" t="s">
        <v>924</v>
      </c>
      <c r="I2" s="651" t="s">
        <v>929</v>
      </c>
      <c r="J2" s="651" t="s">
        <v>930</v>
      </c>
      <c r="K2" s="593"/>
      <c r="M2" s="987" t="s">
        <v>410</v>
      </c>
      <c r="N2" s="987" t="s">
        <v>435</v>
      </c>
      <c r="O2" s="987" t="s">
        <v>411</v>
      </c>
      <c r="P2" s="987" t="s">
        <v>505</v>
      </c>
      <c r="Q2" s="987" t="s">
        <v>413</v>
      </c>
      <c r="R2" s="987" t="s">
        <v>929</v>
      </c>
      <c r="T2" s="987" t="s">
        <v>410</v>
      </c>
      <c r="U2" s="987" t="s">
        <v>435</v>
      </c>
      <c r="V2" s="987" t="s">
        <v>411</v>
      </c>
      <c r="W2" s="987" t="s">
        <v>505</v>
      </c>
      <c r="X2" s="987" t="s">
        <v>447</v>
      </c>
      <c r="Y2" s="987" t="s">
        <v>413</v>
      </c>
      <c r="Z2" s="987" t="s">
        <v>466</v>
      </c>
      <c r="AA2" s="989" t="s">
        <v>924</v>
      </c>
      <c r="AB2" s="989" t="s">
        <v>929</v>
      </c>
      <c r="AC2" s="989" t="s">
        <v>930</v>
      </c>
    </row>
    <row r="3" spans="1:29" ht="13.5" x14ac:dyDescent="0.25">
      <c r="A3" s="652" t="s">
        <v>1028</v>
      </c>
      <c r="B3" s="593" t="s">
        <v>299</v>
      </c>
      <c r="C3" s="652" t="s">
        <v>418</v>
      </c>
      <c r="D3" s="593" t="s">
        <v>319</v>
      </c>
      <c r="E3" s="593">
        <v>2375000000</v>
      </c>
      <c r="F3" s="593">
        <v>0</v>
      </c>
      <c r="G3" s="593">
        <v>0</v>
      </c>
      <c r="H3" s="652">
        <f>+E3/$I$1*$J$1</f>
        <v>2375000</v>
      </c>
      <c r="I3" s="652">
        <f t="shared" ref="I3:J3" si="0">+F3/$I$1*$J$1</f>
        <v>0</v>
      </c>
      <c r="J3" s="652">
        <f t="shared" si="0"/>
        <v>0</v>
      </c>
      <c r="M3" s="592" t="s">
        <v>1028</v>
      </c>
      <c r="N3" s="592" t="s">
        <v>299</v>
      </c>
      <c r="O3" s="592" t="s">
        <v>420</v>
      </c>
      <c r="P3" s="592" t="s">
        <v>320</v>
      </c>
      <c r="Q3" s="652">
        <v>2223780</v>
      </c>
      <c r="R3" s="593">
        <f>+Q3/$Q$1*$R$1</f>
        <v>2223.7800000000002</v>
      </c>
      <c r="T3" s="592" t="s">
        <v>1028</v>
      </c>
      <c r="U3" s="592" t="s">
        <v>299</v>
      </c>
      <c r="V3" s="649" t="s">
        <v>418</v>
      </c>
      <c r="W3" s="592" t="s">
        <v>319</v>
      </c>
      <c r="X3" s="652">
        <v>2375000000</v>
      </c>
      <c r="Y3" s="652">
        <v>0</v>
      </c>
      <c r="Z3" s="652">
        <v>0</v>
      </c>
      <c r="AA3" s="652">
        <f>+X3/$AB$1*$AC$1</f>
        <v>2375000</v>
      </c>
      <c r="AB3" s="652">
        <f>+Y3/$AB$1*$AC$1</f>
        <v>0</v>
      </c>
      <c r="AC3" s="652">
        <f>+Z3/$AB$1*$AC$1</f>
        <v>0</v>
      </c>
    </row>
    <row r="4" spans="1:29" ht="13.5" x14ac:dyDescent="0.25">
      <c r="A4" s="652" t="s">
        <v>1028</v>
      </c>
      <c r="B4" s="593" t="s">
        <v>299</v>
      </c>
      <c r="C4" s="652" t="s">
        <v>419</v>
      </c>
      <c r="D4" s="593" t="s">
        <v>330</v>
      </c>
      <c r="E4" s="593">
        <v>204765000</v>
      </c>
      <c r="F4" s="593">
        <v>0</v>
      </c>
      <c r="G4" s="593">
        <v>0</v>
      </c>
      <c r="H4" s="652">
        <f t="shared" ref="H4:H44" si="1">+E4/$I$1*$J$1</f>
        <v>204765</v>
      </c>
      <c r="I4" s="652">
        <f t="shared" ref="I4:I44" si="2">+F4/$I$1*$J$1</f>
        <v>0</v>
      </c>
      <c r="J4" s="652">
        <f t="shared" ref="J4:J44" si="3">+G4/$I$1*$J$1</f>
        <v>0</v>
      </c>
      <c r="M4" s="592" t="s">
        <v>1028</v>
      </c>
      <c r="N4" s="592" t="s">
        <v>299</v>
      </c>
      <c r="O4" s="592" t="s">
        <v>419</v>
      </c>
      <c r="P4" s="592" t="s">
        <v>330</v>
      </c>
      <c r="Q4" s="652">
        <v>334522</v>
      </c>
      <c r="R4" s="593">
        <f t="shared" ref="R4:R9" si="4">+Q4/$Q$1*$R$1</f>
        <v>334.52199999999999</v>
      </c>
      <c r="T4" s="592" t="s">
        <v>1028</v>
      </c>
      <c r="U4" s="592" t="s">
        <v>299</v>
      </c>
      <c r="V4" s="649" t="s">
        <v>419</v>
      </c>
      <c r="W4" s="592" t="s">
        <v>330</v>
      </c>
      <c r="X4" s="652">
        <v>204765000</v>
      </c>
      <c r="Y4" s="652">
        <v>0</v>
      </c>
      <c r="Z4" s="652">
        <v>0</v>
      </c>
      <c r="AA4" s="652">
        <f t="shared" ref="AA4:AA47" si="5">+X4/$AB$1*$AC$1</f>
        <v>204765</v>
      </c>
      <c r="AB4" s="652">
        <f t="shared" ref="AB4:AB47" si="6">+Y4/$AB$1*$AC$1</f>
        <v>0</v>
      </c>
      <c r="AC4" s="652">
        <f t="shared" ref="AC4:AC47" si="7">+Z4/$AB$1*$AC$1</f>
        <v>0</v>
      </c>
    </row>
    <row r="5" spans="1:29" ht="13.5" x14ac:dyDescent="0.25">
      <c r="A5" s="652" t="s">
        <v>1028</v>
      </c>
      <c r="B5" s="593" t="s">
        <v>299</v>
      </c>
      <c r="C5" s="652" t="s">
        <v>441</v>
      </c>
      <c r="D5" s="593" t="s">
        <v>322</v>
      </c>
      <c r="E5" s="593">
        <v>69510000</v>
      </c>
      <c r="F5" s="593">
        <v>0</v>
      </c>
      <c r="G5" s="593">
        <v>0</v>
      </c>
      <c r="H5" s="652">
        <f t="shared" si="1"/>
        <v>69510</v>
      </c>
      <c r="I5" s="652">
        <f t="shared" si="2"/>
        <v>0</v>
      </c>
      <c r="J5" s="652">
        <f t="shared" si="3"/>
        <v>0</v>
      </c>
      <c r="M5" s="592" t="s">
        <v>414</v>
      </c>
      <c r="N5" s="592" t="s">
        <v>436</v>
      </c>
      <c r="O5" s="592" t="s">
        <v>639</v>
      </c>
      <c r="P5" s="592" t="s">
        <v>640</v>
      </c>
      <c r="Q5" s="652">
        <v>4008999</v>
      </c>
      <c r="R5" s="593">
        <f t="shared" si="4"/>
        <v>4008.9989999999998</v>
      </c>
      <c r="T5" s="592" t="s">
        <v>1028</v>
      </c>
      <c r="U5" s="592" t="s">
        <v>299</v>
      </c>
      <c r="V5" s="649" t="s">
        <v>441</v>
      </c>
      <c r="W5" s="592" t="s">
        <v>322</v>
      </c>
      <c r="X5" s="652">
        <v>69510000</v>
      </c>
      <c r="Y5" s="652">
        <v>0</v>
      </c>
      <c r="Z5" s="652">
        <v>0</v>
      </c>
      <c r="AA5" s="652">
        <f t="shared" si="5"/>
        <v>69510</v>
      </c>
      <c r="AB5" s="652">
        <f t="shared" si="6"/>
        <v>0</v>
      </c>
      <c r="AC5" s="652">
        <f t="shared" si="7"/>
        <v>0</v>
      </c>
    </row>
    <row r="6" spans="1:29" ht="13.5" x14ac:dyDescent="0.25">
      <c r="A6" s="652" t="s">
        <v>1028</v>
      </c>
      <c r="B6" s="593" t="s">
        <v>299</v>
      </c>
      <c r="C6" s="652" t="s">
        <v>420</v>
      </c>
      <c r="D6" s="593" t="s">
        <v>320</v>
      </c>
      <c r="E6" s="593">
        <v>30520000</v>
      </c>
      <c r="F6" s="593">
        <v>0</v>
      </c>
      <c r="G6" s="593">
        <v>0</v>
      </c>
      <c r="H6" s="652">
        <f t="shared" si="1"/>
        <v>30520</v>
      </c>
      <c r="I6" s="652">
        <f t="shared" si="2"/>
        <v>0</v>
      </c>
      <c r="J6" s="652">
        <f t="shared" si="3"/>
        <v>0</v>
      </c>
      <c r="M6" s="592" t="s">
        <v>414</v>
      </c>
      <c r="N6" s="592" t="s">
        <v>436</v>
      </c>
      <c r="O6" s="592" t="s">
        <v>439</v>
      </c>
      <c r="P6" s="592" t="s">
        <v>267</v>
      </c>
      <c r="Q6" s="652">
        <v>14550000</v>
      </c>
      <c r="R6" s="593">
        <f t="shared" si="4"/>
        <v>14550</v>
      </c>
      <c r="T6" s="592" t="s">
        <v>1028</v>
      </c>
      <c r="U6" s="592" t="s">
        <v>299</v>
      </c>
      <c r="V6" s="649" t="s">
        <v>420</v>
      </c>
      <c r="W6" s="592" t="s">
        <v>320</v>
      </c>
      <c r="X6" s="652">
        <v>30520000</v>
      </c>
      <c r="Y6" s="652">
        <v>0</v>
      </c>
      <c r="Z6" s="652">
        <v>0</v>
      </c>
      <c r="AA6" s="652">
        <f t="shared" si="5"/>
        <v>30520</v>
      </c>
      <c r="AB6" s="652">
        <f t="shared" si="6"/>
        <v>0</v>
      </c>
      <c r="AC6" s="652">
        <f t="shared" si="7"/>
        <v>0</v>
      </c>
    </row>
    <row r="7" spans="1:29" ht="13.5" x14ac:dyDescent="0.25">
      <c r="A7" s="652" t="s">
        <v>1028</v>
      </c>
      <c r="B7" s="593" t="s">
        <v>299</v>
      </c>
      <c r="C7" s="652" t="s">
        <v>440</v>
      </c>
      <c r="D7" s="593" t="s">
        <v>321</v>
      </c>
      <c r="E7" s="593">
        <v>1408000</v>
      </c>
      <c r="F7" s="593">
        <v>0</v>
      </c>
      <c r="G7" s="593">
        <v>0</v>
      </c>
      <c r="H7" s="652">
        <f t="shared" si="1"/>
        <v>1408</v>
      </c>
      <c r="I7" s="652">
        <f t="shared" si="2"/>
        <v>0</v>
      </c>
      <c r="J7" s="652">
        <f t="shared" si="3"/>
        <v>0</v>
      </c>
      <c r="M7" s="592" t="s">
        <v>421</v>
      </c>
      <c r="N7" s="592" t="s">
        <v>326</v>
      </c>
      <c r="O7" s="592" t="s">
        <v>476</v>
      </c>
      <c r="P7" s="592" t="s">
        <v>592</v>
      </c>
      <c r="Q7" s="652">
        <v>89818844</v>
      </c>
      <c r="R7" s="593">
        <f t="shared" si="4"/>
        <v>89818.843999999997</v>
      </c>
      <c r="T7" s="592" t="s">
        <v>1028</v>
      </c>
      <c r="U7" s="592" t="s">
        <v>299</v>
      </c>
      <c r="V7" s="649" t="s">
        <v>440</v>
      </c>
      <c r="W7" s="592" t="s">
        <v>321</v>
      </c>
      <c r="X7" s="652">
        <v>1408000</v>
      </c>
      <c r="Y7" s="652">
        <v>0</v>
      </c>
      <c r="Z7" s="652">
        <v>0</v>
      </c>
      <c r="AA7" s="652">
        <f t="shared" si="5"/>
        <v>1408</v>
      </c>
      <c r="AB7" s="652">
        <f t="shared" si="6"/>
        <v>0</v>
      </c>
      <c r="AC7" s="652">
        <f t="shared" si="7"/>
        <v>0</v>
      </c>
    </row>
    <row r="8" spans="1:29" ht="13.5" x14ac:dyDescent="0.25">
      <c r="A8" s="652" t="s">
        <v>1028</v>
      </c>
      <c r="B8" s="593" t="s">
        <v>299</v>
      </c>
      <c r="C8" s="652" t="s">
        <v>419</v>
      </c>
      <c r="D8" s="593" t="s">
        <v>330</v>
      </c>
      <c r="E8" s="593">
        <v>0</v>
      </c>
      <c r="F8" s="593">
        <v>10996861</v>
      </c>
      <c r="G8" s="593">
        <v>11331383</v>
      </c>
      <c r="H8" s="652">
        <f t="shared" si="1"/>
        <v>0</v>
      </c>
      <c r="I8" s="652">
        <f t="shared" si="2"/>
        <v>10996.861000000001</v>
      </c>
      <c r="J8" s="652">
        <f t="shared" si="3"/>
        <v>11331.383</v>
      </c>
      <c r="M8" s="592" t="s">
        <v>1029</v>
      </c>
      <c r="N8" s="592" t="s">
        <v>498</v>
      </c>
      <c r="O8" s="592" t="s">
        <v>429</v>
      </c>
      <c r="P8" s="592" t="s">
        <v>429</v>
      </c>
      <c r="Q8" s="652">
        <v>2700000</v>
      </c>
      <c r="R8" s="593">
        <f t="shared" si="4"/>
        <v>2700</v>
      </c>
      <c r="T8" s="592" t="s">
        <v>1028</v>
      </c>
      <c r="U8" s="592" t="s">
        <v>299</v>
      </c>
      <c r="V8" s="649" t="s">
        <v>429</v>
      </c>
      <c r="W8" s="592" t="s">
        <v>429</v>
      </c>
      <c r="X8" s="652">
        <v>0</v>
      </c>
      <c r="Y8" s="652">
        <v>0</v>
      </c>
      <c r="Z8" s="652">
        <v>0</v>
      </c>
      <c r="AA8" s="652">
        <f t="shared" si="5"/>
        <v>0</v>
      </c>
      <c r="AB8" s="652">
        <f t="shared" si="6"/>
        <v>0</v>
      </c>
      <c r="AC8" s="652">
        <f t="shared" si="7"/>
        <v>0</v>
      </c>
    </row>
    <row r="9" spans="1:29" ht="13.5" x14ac:dyDescent="0.25">
      <c r="A9" s="652" t="s">
        <v>1028</v>
      </c>
      <c r="B9" s="593" t="s">
        <v>299</v>
      </c>
      <c r="C9" s="652" t="s">
        <v>420</v>
      </c>
      <c r="D9" s="593" t="s">
        <v>320</v>
      </c>
      <c r="E9" s="593">
        <v>0</v>
      </c>
      <c r="F9" s="593">
        <v>2223780</v>
      </c>
      <c r="G9" s="593">
        <v>26685360</v>
      </c>
      <c r="H9" s="652">
        <f t="shared" si="1"/>
        <v>0</v>
      </c>
      <c r="I9" s="652">
        <f t="shared" si="2"/>
        <v>2223.7800000000002</v>
      </c>
      <c r="J9" s="652">
        <f t="shared" si="3"/>
        <v>26685.360000000001</v>
      </c>
      <c r="M9" s="592" t="s">
        <v>445</v>
      </c>
      <c r="N9" s="592" t="s">
        <v>446</v>
      </c>
      <c r="O9" s="592" t="s">
        <v>429</v>
      </c>
      <c r="P9" s="592" t="s">
        <v>429</v>
      </c>
      <c r="Q9" s="652">
        <v>4506134</v>
      </c>
      <c r="R9" s="593">
        <f t="shared" si="4"/>
        <v>4506.134</v>
      </c>
      <c r="T9" s="592" t="s">
        <v>1028</v>
      </c>
      <c r="U9" s="592" t="s">
        <v>299</v>
      </c>
      <c r="V9" s="649" t="s">
        <v>420</v>
      </c>
      <c r="W9" s="592" t="s">
        <v>320</v>
      </c>
      <c r="X9" s="652">
        <v>0</v>
      </c>
      <c r="Y9" s="652">
        <v>4447560</v>
      </c>
      <c r="Z9" s="652">
        <v>26685360</v>
      </c>
      <c r="AA9" s="652">
        <f t="shared" si="5"/>
        <v>0</v>
      </c>
      <c r="AB9" s="652">
        <f t="shared" si="6"/>
        <v>4447.5600000000004</v>
      </c>
      <c r="AC9" s="652">
        <f t="shared" si="7"/>
        <v>26685.360000000001</v>
      </c>
    </row>
    <row r="10" spans="1:29" ht="13.5" x14ac:dyDescent="0.25">
      <c r="A10" s="652" t="s">
        <v>1028</v>
      </c>
      <c r="B10" s="593" t="s">
        <v>299</v>
      </c>
      <c r="C10" s="652" t="s">
        <v>441</v>
      </c>
      <c r="D10" s="593" t="s">
        <v>322</v>
      </c>
      <c r="E10" s="593">
        <v>0</v>
      </c>
      <c r="F10" s="593">
        <v>0</v>
      </c>
      <c r="G10" s="593">
        <v>775665</v>
      </c>
      <c r="H10" s="652">
        <f t="shared" si="1"/>
        <v>0</v>
      </c>
      <c r="I10" s="652">
        <f t="shared" si="2"/>
        <v>0</v>
      </c>
      <c r="J10" s="652">
        <f t="shared" si="3"/>
        <v>775.66499999999996</v>
      </c>
      <c r="T10" s="592" t="s">
        <v>1028</v>
      </c>
      <c r="U10" s="592" t="s">
        <v>299</v>
      </c>
      <c r="V10" s="649" t="s">
        <v>441</v>
      </c>
      <c r="W10" s="592" t="s">
        <v>322</v>
      </c>
      <c r="X10" s="652">
        <v>0</v>
      </c>
      <c r="Y10" s="652">
        <v>0</v>
      </c>
      <c r="Z10" s="652">
        <v>968159</v>
      </c>
      <c r="AA10" s="652">
        <f t="shared" si="5"/>
        <v>0</v>
      </c>
      <c r="AB10" s="652">
        <f t="shared" si="6"/>
        <v>0</v>
      </c>
      <c r="AC10" s="652">
        <f t="shared" si="7"/>
        <v>968.15899999999999</v>
      </c>
    </row>
    <row r="11" spans="1:29" ht="13.5" x14ac:dyDescent="0.25">
      <c r="A11" s="652" t="s">
        <v>1028</v>
      </c>
      <c r="B11" s="593" t="s">
        <v>299</v>
      </c>
      <c r="C11" s="652" t="s">
        <v>429</v>
      </c>
      <c r="D11" s="593" t="s">
        <v>429</v>
      </c>
      <c r="E11" s="593">
        <v>0</v>
      </c>
      <c r="F11" s="593">
        <v>0</v>
      </c>
      <c r="G11" s="593">
        <v>0</v>
      </c>
      <c r="H11" s="652">
        <f t="shared" si="1"/>
        <v>0</v>
      </c>
      <c r="I11" s="652">
        <f t="shared" si="2"/>
        <v>0</v>
      </c>
      <c r="J11" s="652">
        <f t="shared" si="3"/>
        <v>0</v>
      </c>
      <c r="T11" s="592" t="s">
        <v>1028</v>
      </c>
      <c r="U11" s="592" t="s">
        <v>299</v>
      </c>
      <c r="V11" s="649" t="s">
        <v>419</v>
      </c>
      <c r="W11" s="592" t="s">
        <v>330</v>
      </c>
      <c r="X11" s="652">
        <v>0</v>
      </c>
      <c r="Y11" s="652">
        <v>11331383</v>
      </c>
      <c r="Z11" s="652">
        <v>11331383</v>
      </c>
      <c r="AA11" s="652">
        <f t="shared" si="5"/>
        <v>0</v>
      </c>
      <c r="AB11" s="652">
        <f t="shared" si="6"/>
        <v>11331.383</v>
      </c>
      <c r="AC11" s="652">
        <f t="shared" si="7"/>
        <v>11331.383</v>
      </c>
    </row>
    <row r="12" spans="1:29" ht="13.5" x14ac:dyDescent="0.25">
      <c r="A12" s="652" t="s">
        <v>414</v>
      </c>
      <c r="B12" s="593" t="s">
        <v>436</v>
      </c>
      <c r="C12" s="652" t="s">
        <v>439</v>
      </c>
      <c r="D12" s="593" t="s">
        <v>267</v>
      </c>
      <c r="E12" s="593">
        <v>1120879000</v>
      </c>
      <c r="F12" s="593">
        <v>0</v>
      </c>
      <c r="G12" s="593">
        <v>0</v>
      </c>
      <c r="H12" s="652">
        <f t="shared" si="1"/>
        <v>1120879</v>
      </c>
      <c r="I12" s="652">
        <f t="shared" si="2"/>
        <v>0</v>
      </c>
      <c r="J12" s="652">
        <f t="shared" si="3"/>
        <v>0</v>
      </c>
      <c r="T12" s="592" t="s">
        <v>1028</v>
      </c>
      <c r="U12" s="592" t="s">
        <v>299</v>
      </c>
      <c r="V12" s="649" t="s">
        <v>418</v>
      </c>
      <c r="W12" s="592" t="s">
        <v>319</v>
      </c>
      <c r="X12" s="652">
        <v>0</v>
      </c>
      <c r="Y12" s="652">
        <v>0</v>
      </c>
      <c r="Z12" s="652">
        <v>439132308</v>
      </c>
      <c r="AA12" s="652">
        <f t="shared" si="5"/>
        <v>0</v>
      </c>
      <c r="AB12" s="652">
        <f t="shared" si="6"/>
        <v>0</v>
      </c>
      <c r="AC12" s="652">
        <f t="shared" si="7"/>
        <v>439132.30800000002</v>
      </c>
    </row>
    <row r="13" spans="1:29" ht="13.5" x14ac:dyDescent="0.25">
      <c r="A13" s="652" t="s">
        <v>414</v>
      </c>
      <c r="B13" s="593" t="s">
        <v>436</v>
      </c>
      <c r="C13" s="652" t="s">
        <v>415</v>
      </c>
      <c r="D13" s="593" t="s">
        <v>416</v>
      </c>
      <c r="E13" s="593">
        <v>240000000</v>
      </c>
      <c r="F13" s="593">
        <v>0</v>
      </c>
      <c r="G13" s="593">
        <v>0</v>
      </c>
      <c r="H13" s="652">
        <f t="shared" si="1"/>
        <v>240000</v>
      </c>
      <c r="I13" s="652">
        <f t="shared" si="2"/>
        <v>0</v>
      </c>
      <c r="J13" s="652">
        <f t="shared" si="3"/>
        <v>0</v>
      </c>
      <c r="T13" s="592" t="s">
        <v>414</v>
      </c>
      <c r="U13" s="592" t="s">
        <v>436</v>
      </c>
      <c r="V13" s="649" t="s">
        <v>439</v>
      </c>
      <c r="W13" s="592" t="s">
        <v>267</v>
      </c>
      <c r="X13" s="652">
        <v>1120879000</v>
      </c>
      <c r="Y13" s="652">
        <v>0</v>
      </c>
      <c r="Z13" s="652">
        <v>0</v>
      </c>
      <c r="AA13" s="652">
        <f t="shared" si="5"/>
        <v>1120879</v>
      </c>
      <c r="AB13" s="652">
        <f t="shared" si="6"/>
        <v>0</v>
      </c>
      <c r="AC13" s="652">
        <f t="shared" si="7"/>
        <v>0</v>
      </c>
    </row>
    <row r="14" spans="1:29" ht="13.5" x14ac:dyDescent="0.25">
      <c r="A14" s="652" t="s">
        <v>414</v>
      </c>
      <c r="B14" s="593" t="s">
        <v>436</v>
      </c>
      <c r="C14" s="652" t="s">
        <v>437</v>
      </c>
      <c r="D14" s="593" t="s">
        <v>438</v>
      </c>
      <c r="E14" s="593">
        <v>140000000</v>
      </c>
      <c r="F14" s="593">
        <v>0</v>
      </c>
      <c r="G14" s="593">
        <v>0</v>
      </c>
      <c r="H14" s="652">
        <f t="shared" si="1"/>
        <v>140000</v>
      </c>
      <c r="I14" s="652">
        <f t="shared" si="2"/>
        <v>0</v>
      </c>
      <c r="J14" s="652">
        <f t="shared" si="3"/>
        <v>0</v>
      </c>
      <c r="T14" s="592" t="s">
        <v>414</v>
      </c>
      <c r="U14" s="592" t="s">
        <v>436</v>
      </c>
      <c r="V14" s="649" t="s">
        <v>415</v>
      </c>
      <c r="W14" s="592" t="s">
        <v>416</v>
      </c>
      <c r="X14" s="652">
        <v>240000000</v>
      </c>
      <c r="Y14" s="652">
        <v>0</v>
      </c>
      <c r="Z14" s="652">
        <v>0</v>
      </c>
      <c r="AA14" s="652">
        <f t="shared" si="5"/>
        <v>240000</v>
      </c>
      <c r="AB14" s="652">
        <f t="shared" si="6"/>
        <v>0</v>
      </c>
      <c r="AC14" s="652">
        <f t="shared" si="7"/>
        <v>0</v>
      </c>
    </row>
    <row r="15" spans="1:29" ht="13.5" x14ac:dyDescent="0.25">
      <c r="A15" s="652" t="s">
        <v>414</v>
      </c>
      <c r="B15" s="593" t="s">
        <v>436</v>
      </c>
      <c r="C15" s="652" t="s">
        <v>639</v>
      </c>
      <c r="D15" s="593" t="s">
        <v>640</v>
      </c>
      <c r="E15" s="593">
        <v>71812000</v>
      </c>
      <c r="F15" s="593">
        <v>0</v>
      </c>
      <c r="G15" s="593">
        <v>0</v>
      </c>
      <c r="H15" s="652">
        <f t="shared" si="1"/>
        <v>71812</v>
      </c>
      <c r="I15" s="652">
        <f t="shared" si="2"/>
        <v>0</v>
      </c>
      <c r="J15" s="652">
        <f t="shared" si="3"/>
        <v>0</v>
      </c>
      <c r="T15" s="592" t="s">
        <v>414</v>
      </c>
      <c r="U15" s="592" t="s">
        <v>436</v>
      </c>
      <c r="V15" s="649" t="s">
        <v>437</v>
      </c>
      <c r="W15" s="592" t="s">
        <v>438</v>
      </c>
      <c r="X15" s="652">
        <v>140000000</v>
      </c>
      <c r="Y15" s="652">
        <v>0</v>
      </c>
      <c r="Z15" s="652">
        <v>0</v>
      </c>
      <c r="AA15" s="652">
        <f t="shared" si="5"/>
        <v>140000</v>
      </c>
      <c r="AB15" s="652">
        <f t="shared" si="6"/>
        <v>0</v>
      </c>
      <c r="AC15" s="652">
        <f t="shared" si="7"/>
        <v>0</v>
      </c>
    </row>
    <row r="16" spans="1:29" ht="13.5" x14ac:dyDescent="0.25">
      <c r="A16" s="652" t="s">
        <v>414</v>
      </c>
      <c r="B16" s="593" t="s">
        <v>436</v>
      </c>
      <c r="C16" s="652" t="s">
        <v>639</v>
      </c>
      <c r="D16" s="593" t="s">
        <v>640</v>
      </c>
      <c r="E16" s="593">
        <v>0</v>
      </c>
      <c r="F16" s="593">
        <v>0</v>
      </c>
      <c r="G16" s="593">
        <v>21600000</v>
      </c>
      <c r="H16" s="652">
        <f t="shared" si="1"/>
        <v>0</v>
      </c>
      <c r="I16" s="652">
        <f t="shared" si="2"/>
        <v>0</v>
      </c>
      <c r="J16" s="652">
        <f t="shared" si="3"/>
        <v>21600</v>
      </c>
      <c r="T16" s="592" t="s">
        <v>414</v>
      </c>
      <c r="U16" s="592" t="s">
        <v>436</v>
      </c>
      <c r="V16" s="649" t="s">
        <v>639</v>
      </c>
      <c r="W16" s="592" t="s">
        <v>640</v>
      </c>
      <c r="X16" s="652">
        <v>71812000</v>
      </c>
      <c r="Y16" s="652">
        <v>0</v>
      </c>
      <c r="Z16" s="652">
        <v>0</v>
      </c>
      <c r="AA16" s="652">
        <f t="shared" si="5"/>
        <v>71812</v>
      </c>
      <c r="AB16" s="652">
        <f t="shared" si="6"/>
        <v>0</v>
      </c>
      <c r="AC16" s="652">
        <f t="shared" si="7"/>
        <v>0</v>
      </c>
    </row>
    <row r="17" spans="1:29" ht="13.5" x14ac:dyDescent="0.25">
      <c r="A17" s="652" t="s">
        <v>414</v>
      </c>
      <c r="B17" s="593" t="s">
        <v>436</v>
      </c>
      <c r="C17" s="652" t="s">
        <v>439</v>
      </c>
      <c r="D17" s="593" t="s">
        <v>267</v>
      </c>
      <c r="E17" s="593">
        <v>0</v>
      </c>
      <c r="F17" s="593">
        <v>0</v>
      </c>
      <c r="G17" s="593">
        <v>14550000</v>
      </c>
      <c r="H17" s="652">
        <f t="shared" si="1"/>
        <v>0</v>
      </c>
      <c r="I17" s="652">
        <f t="shared" si="2"/>
        <v>0</v>
      </c>
      <c r="J17" s="652">
        <f t="shared" si="3"/>
        <v>14550</v>
      </c>
      <c r="T17" s="592" t="s">
        <v>414</v>
      </c>
      <c r="U17" s="592" t="s">
        <v>436</v>
      </c>
      <c r="V17" s="649" t="s">
        <v>639</v>
      </c>
      <c r="W17" s="592" t="s">
        <v>640</v>
      </c>
      <c r="X17" s="652">
        <v>0</v>
      </c>
      <c r="Y17" s="652">
        <v>4008999</v>
      </c>
      <c r="Z17" s="652">
        <v>22909000</v>
      </c>
      <c r="AA17" s="652">
        <f t="shared" si="5"/>
        <v>0</v>
      </c>
      <c r="AB17" s="652">
        <f t="shared" si="6"/>
        <v>4008.9989999999998</v>
      </c>
      <c r="AC17" s="652">
        <f t="shared" si="7"/>
        <v>22909</v>
      </c>
    </row>
    <row r="18" spans="1:29" ht="13.5" x14ac:dyDescent="0.25">
      <c r="A18" s="652" t="s">
        <v>421</v>
      </c>
      <c r="B18" s="593" t="s">
        <v>326</v>
      </c>
      <c r="C18" s="652" t="s">
        <v>467</v>
      </c>
      <c r="D18" s="593" t="s">
        <v>591</v>
      </c>
      <c r="E18" s="593">
        <v>305741514</v>
      </c>
      <c r="F18" s="593">
        <v>0</v>
      </c>
      <c r="G18" s="593">
        <v>0</v>
      </c>
      <c r="H18" s="652">
        <f t="shared" si="1"/>
        <v>305741.51400000002</v>
      </c>
      <c r="I18" s="652">
        <f t="shared" si="2"/>
        <v>0</v>
      </c>
      <c r="J18" s="652">
        <f t="shared" si="3"/>
        <v>0</v>
      </c>
      <c r="T18" s="592" t="s">
        <v>414</v>
      </c>
      <c r="U18" s="592" t="s">
        <v>436</v>
      </c>
      <c r="V18" s="649" t="s">
        <v>439</v>
      </c>
      <c r="W18" s="592" t="s">
        <v>267</v>
      </c>
      <c r="X18" s="652">
        <v>0</v>
      </c>
      <c r="Y18" s="652">
        <v>14550000</v>
      </c>
      <c r="Z18" s="652">
        <v>14550000</v>
      </c>
      <c r="AA18" s="652">
        <f t="shared" si="5"/>
        <v>0</v>
      </c>
      <c r="AB18" s="652">
        <f t="shared" si="6"/>
        <v>14550</v>
      </c>
      <c r="AC18" s="652">
        <f t="shared" si="7"/>
        <v>14550</v>
      </c>
    </row>
    <row r="19" spans="1:29" ht="13.5" x14ac:dyDescent="0.25">
      <c r="A19" s="652" t="s">
        <v>421</v>
      </c>
      <c r="B19" s="593" t="s">
        <v>326</v>
      </c>
      <c r="C19" s="652" t="s">
        <v>476</v>
      </c>
      <c r="D19" s="593" t="s">
        <v>592</v>
      </c>
      <c r="E19" s="593">
        <v>221922562</v>
      </c>
      <c r="F19" s="593">
        <v>0</v>
      </c>
      <c r="G19" s="593">
        <v>0</v>
      </c>
      <c r="H19" s="652">
        <f t="shared" si="1"/>
        <v>221922.56200000001</v>
      </c>
      <c r="I19" s="652">
        <f t="shared" si="2"/>
        <v>0</v>
      </c>
      <c r="J19" s="652">
        <f t="shared" si="3"/>
        <v>0</v>
      </c>
      <c r="T19" s="592" t="s">
        <v>414</v>
      </c>
      <c r="U19" s="592" t="s">
        <v>436</v>
      </c>
      <c r="V19" s="649" t="s">
        <v>429</v>
      </c>
      <c r="W19" s="592" t="s">
        <v>429</v>
      </c>
      <c r="X19" s="652">
        <v>0</v>
      </c>
      <c r="Y19" s="652">
        <v>0</v>
      </c>
      <c r="Z19" s="652">
        <v>0</v>
      </c>
      <c r="AA19" s="652">
        <f t="shared" si="5"/>
        <v>0</v>
      </c>
      <c r="AB19" s="652">
        <f t="shared" si="6"/>
        <v>0</v>
      </c>
      <c r="AC19" s="652">
        <f t="shared" si="7"/>
        <v>0</v>
      </c>
    </row>
    <row r="20" spans="1:29" ht="13.5" x14ac:dyDescent="0.25">
      <c r="A20" s="652" t="s">
        <v>421</v>
      </c>
      <c r="B20" s="593" t="s">
        <v>326</v>
      </c>
      <c r="C20" s="652" t="s">
        <v>442</v>
      </c>
      <c r="D20" s="593" t="s">
        <v>593</v>
      </c>
      <c r="E20" s="593">
        <v>114543464</v>
      </c>
      <c r="F20" s="593">
        <v>0</v>
      </c>
      <c r="G20" s="593">
        <v>0</v>
      </c>
      <c r="H20" s="652">
        <f t="shared" si="1"/>
        <v>114543.46400000001</v>
      </c>
      <c r="I20" s="652">
        <f t="shared" si="2"/>
        <v>0</v>
      </c>
      <c r="J20" s="652">
        <f t="shared" si="3"/>
        <v>0</v>
      </c>
      <c r="T20" s="592" t="s">
        <v>421</v>
      </c>
      <c r="U20" s="592" t="s">
        <v>326</v>
      </c>
      <c r="V20" s="649" t="s">
        <v>467</v>
      </c>
      <c r="W20" s="592" t="s">
        <v>591</v>
      </c>
      <c r="X20" s="652">
        <v>355520000</v>
      </c>
      <c r="Y20" s="652">
        <v>0</v>
      </c>
      <c r="Z20" s="652">
        <v>0</v>
      </c>
      <c r="AA20" s="652">
        <f t="shared" si="5"/>
        <v>355520</v>
      </c>
      <c r="AB20" s="652">
        <f t="shared" si="6"/>
        <v>0</v>
      </c>
      <c r="AC20" s="652">
        <f t="shared" si="7"/>
        <v>0</v>
      </c>
    </row>
    <row r="21" spans="1:29" ht="13.5" x14ac:dyDescent="0.25">
      <c r="A21" s="652" t="s">
        <v>421</v>
      </c>
      <c r="B21" s="593" t="s">
        <v>326</v>
      </c>
      <c r="C21" s="652" t="s">
        <v>422</v>
      </c>
      <c r="D21" s="593" t="s">
        <v>470</v>
      </c>
      <c r="E21" s="593">
        <v>84290798</v>
      </c>
      <c r="F21" s="593">
        <v>0</v>
      </c>
      <c r="G21" s="593">
        <v>0</v>
      </c>
      <c r="H21" s="652">
        <f t="shared" si="1"/>
        <v>84290.797999999995</v>
      </c>
      <c r="I21" s="652">
        <f t="shared" si="2"/>
        <v>0</v>
      </c>
      <c r="J21" s="652">
        <f t="shared" si="3"/>
        <v>0</v>
      </c>
      <c r="T21" s="592" t="s">
        <v>421</v>
      </c>
      <c r="U21" s="592" t="s">
        <v>326</v>
      </c>
      <c r="V21" s="649" t="s">
        <v>476</v>
      </c>
      <c r="W21" s="592" t="s">
        <v>592</v>
      </c>
      <c r="X21" s="652">
        <v>172144076</v>
      </c>
      <c r="Y21" s="652">
        <v>0</v>
      </c>
      <c r="Z21" s="652">
        <v>0</v>
      </c>
      <c r="AA21" s="652">
        <f t="shared" si="5"/>
        <v>172144.076</v>
      </c>
      <c r="AB21" s="652">
        <f t="shared" si="6"/>
        <v>0</v>
      </c>
      <c r="AC21" s="652">
        <f t="shared" si="7"/>
        <v>0</v>
      </c>
    </row>
    <row r="22" spans="1:29" ht="13.5" x14ac:dyDescent="0.25">
      <c r="A22" s="652" t="s">
        <v>421</v>
      </c>
      <c r="B22" s="593" t="s">
        <v>326</v>
      </c>
      <c r="C22" s="652" t="s">
        <v>589</v>
      </c>
      <c r="D22" s="593" t="s">
        <v>590</v>
      </c>
      <c r="E22" s="593">
        <v>14400662</v>
      </c>
      <c r="F22" s="593">
        <v>0</v>
      </c>
      <c r="G22" s="593">
        <v>0</v>
      </c>
      <c r="H22" s="652">
        <f t="shared" si="1"/>
        <v>14400.662</v>
      </c>
      <c r="I22" s="652">
        <f t="shared" si="2"/>
        <v>0</v>
      </c>
      <c r="J22" s="652">
        <f t="shared" si="3"/>
        <v>0</v>
      </c>
      <c r="T22" s="592" t="s">
        <v>421</v>
      </c>
      <c r="U22" s="592" t="s">
        <v>326</v>
      </c>
      <c r="V22" s="649" t="s">
        <v>442</v>
      </c>
      <c r="W22" s="592" t="s">
        <v>593</v>
      </c>
      <c r="X22" s="652">
        <v>114543464</v>
      </c>
      <c r="Y22" s="652">
        <v>0</v>
      </c>
      <c r="Z22" s="652">
        <v>0</v>
      </c>
      <c r="AA22" s="652">
        <f t="shared" si="5"/>
        <v>114543.46400000001</v>
      </c>
      <c r="AB22" s="652">
        <f t="shared" si="6"/>
        <v>0</v>
      </c>
      <c r="AC22" s="652">
        <f t="shared" si="7"/>
        <v>0</v>
      </c>
    </row>
    <row r="23" spans="1:29" ht="13.5" x14ac:dyDescent="0.25">
      <c r="A23" s="652" t="s">
        <v>421</v>
      </c>
      <c r="B23" s="593" t="s">
        <v>326</v>
      </c>
      <c r="C23" s="652" t="s">
        <v>476</v>
      </c>
      <c r="D23" s="593" t="s">
        <v>592</v>
      </c>
      <c r="E23" s="593">
        <v>0</v>
      </c>
      <c r="F23" s="593">
        <v>0</v>
      </c>
      <c r="G23" s="593">
        <v>89818844</v>
      </c>
      <c r="H23" s="652">
        <f t="shared" si="1"/>
        <v>0</v>
      </c>
      <c r="I23" s="652">
        <f t="shared" si="2"/>
        <v>0</v>
      </c>
      <c r="J23" s="652">
        <f t="shared" si="3"/>
        <v>89818.843999999997</v>
      </c>
      <c r="T23" s="592" t="s">
        <v>421</v>
      </c>
      <c r="U23" s="592" t="s">
        <v>326</v>
      </c>
      <c r="V23" s="649" t="s">
        <v>422</v>
      </c>
      <c r="W23" s="592" t="s">
        <v>470</v>
      </c>
      <c r="X23" s="652">
        <v>84290798</v>
      </c>
      <c r="Y23" s="652">
        <v>0</v>
      </c>
      <c r="Z23" s="652">
        <v>0</v>
      </c>
      <c r="AA23" s="652">
        <f t="shared" si="5"/>
        <v>84290.797999999995</v>
      </c>
      <c r="AB23" s="652">
        <f t="shared" si="6"/>
        <v>0</v>
      </c>
      <c r="AC23" s="652">
        <f t="shared" si="7"/>
        <v>0</v>
      </c>
    </row>
    <row r="24" spans="1:29" ht="13.5" x14ac:dyDescent="0.25">
      <c r="A24" s="652" t="s">
        <v>421</v>
      </c>
      <c r="B24" s="593" t="s">
        <v>326</v>
      </c>
      <c r="C24" s="652" t="s">
        <v>589</v>
      </c>
      <c r="D24" s="593" t="s">
        <v>590</v>
      </c>
      <c r="E24" s="593">
        <v>0</v>
      </c>
      <c r="F24" s="593">
        <v>0</v>
      </c>
      <c r="G24" s="593">
        <v>2340000</v>
      </c>
      <c r="H24" s="652">
        <f t="shared" si="1"/>
        <v>0</v>
      </c>
      <c r="I24" s="652">
        <f t="shared" si="2"/>
        <v>0</v>
      </c>
      <c r="J24" s="652">
        <f t="shared" si="3"/>
        <v>2340</v>
      </c>
      <c r="T24" s="592" t="s">
        <v>421</v>
      </c>
      <c r="U24" s="592" t="s">
        <v>326</v>
      </c>
      <c r="V24" s="649" t="s">
        <v>589</v>
      </c>
      <c r="W24" s="592" t="s">
        <v>590</v>
      </c>
      <c r="X24" s="652">
        <v>14400662</v>
      </c>
      <c r="Y24" s="652">
        <v>0</v>
      </c>
      <c r="Z24" s="652">
        <v>0</v>
      </c>
      <c r="AA24" s="652">
        <f t="shared" si="5"/>
        <v>14400.662</v>
      </c>
      <c r="AB24" s="652">
        <f t="shared" si="6"/>
        <v>0</v>
      </c>
      <c r="AC24" s="652">
        <f t="shared" si="7"/>
        <v>0</v>
      </c>
    </row>
    <row r="25" spans="1:29" ht="13.5" x14ac:dyDescent="0.25">
      <c r="A25" s="652" t="s">
        <v>421</v>
      </c>
      <c r="B25" s="593" t="s">
        <v>326</v>
      </c>
      <c r="C25" s="652" t="s">
        <v>477</v>
      </c>
      <c r="D25" s="593" t="s">
        <v>468</v>
      </c>
      <c r="E25" s="593">
        <v>0</v>
      </c>
      <c r="F25" s="593">
        <v>0</v>
      </c>
      <c r="G25" s="593">
        <v>0</v>
      </c>
      <c r="H25" s="652">
        <f t="shared" si="1"/>
        <v>0</v>
      </c>
      <c r="I25" s="652">
        <f t="shared" si="2"/>
        <v>0</v>
      </c>
      <c r="J25" s="652">
        <f t="shared" si="3"/>
        <v>0</v>
      </c>
      <c r="T25" s="592" t="s">
        <v>421</v>
      </c>
      <c r="U25" s="592" t="s">
        <v>326</v>
      </c>
      <c r="V25" s="649" t="s">
        <v>477</v>
      </c>
      <c r="W25" s="592" t="s">
        <v>468</v>
      </c>
      <c r="X25" s="652">
        <v>0</v>
      </c>
      <c r="Y25" s="652">
        <v>0</v>
      </c>
      <c r="Z25" s="652">
        <v>0</v>
      </c>
      <c r="AA25" s="652">
        <f t="shared" si="5"/>
        <v>0</v>
      </c>
      <c r="AB25" s="652">
        <f t="shared" si="6"/>
        <v>0</v>
      </c>
      <c r="AC25" s="652">
        <f t="shared" si="7"/>
        <v>0</v>
      </c>
    </row>
    <row r="26" spans="1:29" ht="13.5" x14ac:dyDescent="0.25">
      <c r="A26" s="652" t="s">
        <v>1029</v>
      </c>
      <c r="B26" s="593" t="s">
        <v>498</v>
      </c>
      <c r="C26" s="652" t="s">
        <v>429</v>
      </c>
      <c r="D26" s="593" t="s">
        <v>429</v>
      </c>
      <c r="E26" s="593">
        <v>31260000</v>
      </c>
      <c r="F26" s="593">
        <v>0</v>
      </c>
      <c r="G26" s="593">
        <v>0</v>
      </c>
      <c r="H26" s="652">
        <f t="shared" si="1"/>
        <v>31260</v>
      </c>
      <c r="I26" s="652">
        <f t="shared" si="2"/>
        <v>0</v>
      </c>
      <c r="J26" s="652">
        <f t="shared" si="3"/>
        <v>0</v>
      </c>
      <c r="T26" s="592" t="s">
        <v>421</v>
      </c>
      <c r="U26" s="592" t="s">
        <v>326</v>
      </c>
      <c r="V26" s="649" t="s">
        <v>589</v>
      </c>
      <c r="W26" s="592" t="s">
        <v>590</v>
      </c>
      <c r="X26" s="652">
        <v>0</v>
      </c>
      <c r="Y26" s="652">
        <v>0</v>
      </c>
      <c r="Z26" s="652">
        <v>2340000</v>
      </c>
      <c r="AA26" s="652">
        <f t="shared" si="5"/>
        <v>0</v>
      </c>
      <c r="AB26" s="652">
        <f t="shared" si="6"/>
        <v>0</v>
      </c>
      <c r="AC26" s="652">
        <f t="shared" si="7"/>
        <v>2340</v>
      </c>
    </row>
    <row r="27" spans="1:29" ht="13.5" x14ac:dyDescent="0.25">
      <c r="A27" s="652" t="s">
        <v>1029</v>
      </c>
      <c r="B27" s="593" t="s">
        <v>498</v>
      </c>
      <c r="C27" s="652" t="s">
        <v>429</v>
      </c>
      <c r="D27" s="593" t="s">
        <v>429</v>
      </c>
      <c r="E27" s="593">
        <v>0</v>
      </c>
      <c r="F27" s="593">
        <v>0</v>
      </c>
      <c r="G27" s="593">
        <v>22571207</v>
      </c>
      <c r="H27" s="652">
        <f t="shared" si="1"/>
        <v>0</v>
      </c>
      <c r="I27" s="652">
        <f t="shared" si="2"/>
        <v>0</v>
      </c>
      <c r="J27" s="652">
        <f t="shared" si="3"/>
        <v>22571.206999999999</v>
      </c>
      <c r="T27" s="592" t="s">
        <v>421</v>
      </c>
      <c r="U27" s="592" t="s">
        <v>326</v>
      </c>
      <c r="V27" s="649" t="s">
        <v>429</v>
      </c>
      <c r="W27" s="592" t="s">
        <v>429</v>
      </c>
      <c r="X27" s="652">
        <v>0</v>
      </c>
      <c r="Y27" s="652">
        <v>0</v>
      </c>
      <c r="Z27" s="652">
        <v>0</v>
      </c>
      <c r="AA27" s="652">
        <f t="shared" si="5"/>
        <v>0</v>
      </c>
      <c r="AB27" s="652">
        <f t="shared" si="6"/>
        <v>0</v>
      </c>
      <c r="AC27" s="652">
        <f t="shared" si="7"/>
        <v>0</v>
      </c>
    </row>
    <row r="28" spans="1:29" ht="13.5" x14ac:dyDescent="0.25">
      <c r="A28" s="652" t="s">
        <v>1030</v>
      </c>
      <c r="B28" s="593" t="s">
        <v>854</v>
      </c>
      <c r="C28" s="652" t="s">
        <v>429</v>
      </c>
      <c r="D28" s="593" t="s">
        <v>429</v>
      </c>
      <c r="E28" s="593">
        <v>1000</v>
      </c>
      <c r="F28" s="593">
        <v>0</v>
      </c>
      <c r="G28" s="593">
        <v>0</v>
      </c>
      <c r="H28" s="652">
        <f t="shared" si="1"/>
        <v>1</v>
      </c>
      <c r="I28" s="652">
        <f t="shared" si="2"/>
        <v>0</v>
      </c>
      <c r="J28" s="652">
        <f t="shared" si="3"/>
        <v>0</v>
      </c>
      <c r="T28" s="592" t="s">
        <v>421</v>
      </c>
      <c r="U28" s="592" t="s">
        <v>326</v>
      </c>
      <c r="V28" s="649" t="s">
        <v>476</v>
      </c>
      <c r="W28" s="592" t="s">
        <v>592</v>
      </c>
      <c r="X28" s="652">
        <v>0</v>
      </c>
      <c r="Y28" s="652">
        <v>89818844</v>
      </c>
      <c r="Z28" s="652">
        <v>89818844</v>
      </c>
      <c r="AA28" s="652">
        <f t="shared" si="5"/>
        <v>0</v>
      </c>
      <c r="AB28" s="652">
        <f t="shared" si="6"/>
        <v>89818.843999999997</v>
      </c>
      <c r="AC28" s="652">
        <f t="shared" si="7"/>
        <v>89818.843999999997</v>
      </c>
    </row>
    <row r="29" spans="1:29" ht="13.5" x14ac:dyDescent="0.25">
      <c r="A29" s="652" t="s">
        <v>893</v>
      </c>
      <c r="B29" s="593" t="s">
        <v>894</v>
      </c>
      <c r="C29" s="652" t="s">
        <v>429</v>
      </c>
      <c r="D29" s="593" t="s">
        <v>429</v>
      </c>
      <c r="E29" s="593">
        <v>1000</v>
      </c>
      <c r="F29" s="593">
        <v>0</v>
      </c>
      <c r="G29" s="593">
        <v>0</v>
      </c>
      <c r="H29" s="652">
        <f t="shared" si="1"/>
        <v>1</v>
      </c>
      <c r="I29" s="652">
        <f t="shared" si="2"/>
        <v>0</v>
      </c>
      <c r="J29" s="652">
        <f t="shared" si="3"/>
        <v>0</v>
      </c>
      <c r="T29" s="592" t="s">
        <v>1029</v>
      </c>
      <c r="U29" s="592" t="s">
        <v>498</v>
      </c>
      <c r="V29" s="649" t="s">
        <v>429</v>
      </c>
      <c r="W29" s="592" t="s">
        <v>429</v>
      </c>
      <c r="X29" s="652">
        <v>31260000</v>
      </c>
      <c r="Y29" s="652">
        <v>0</v>
      </c>
      <c r="Z29" s="652">
        <v>0</v>
      </c>
      <c r="AA29" s="652">
        <f t="shared" si="5"/>
        <v>31260</v>
      </c>
      <c r="AB29" s="652">
        <f t="shared" si="6"/>
        <v>0</v>
      </c>
      <c r="AC29" s="652">
        <f t="shared" si="7"/>
        <v>0</v>
      </c>
    </row>
    <row r="30" spans="1:29" ht="13.5" x14ac:dyDescent="0.25">
      <c r="A30" s="652" t="s">
        <v>999</v>
      </c>
      <c r="B30" s="593" t="s">
        <v>863</v>
      </c>
      <c r="C30" s="652" t="s">
        <v>429</v>
      </c>
      <c r="D30" s="593" t="s">
        <v>429</v>
      </c>
      <c r="E30" s="593">
        <v>1000</v>
      </c>
      <c r="F30" s="593">
        <v>0</v>
      </c>
      <c r="G30" s="593">
        <v>0</v>
      </c>
      <c r="H30" s="652">
        <f t="shared" si="1"/>
        <v>1</v>
      </c>
      <c r="I30" s="652">
        <f t="shared" si="2"/>
        <v>0</v>
      </c>
      <c r="J30" s="652">
        <f t="shared" si="3"/>
        <v>0</v>
      </c>
      <c r="T30" s="592" t="s">
        <v>1029</v>
      </c>
      <c r="U30" s="592" t="s">
        <v>498</v>
      </c>
      <c r="V30" s="649" t="s">
        <v>429</v>
      </c>
      <c r="W30" s="592" t="s">
        <v>429</v>
      </c>
      <c r="X30" s="652">
        <v>0</v>
      </c>
      <c r="Y30" s="652">
        <v>2700000</v>
      </c>
      <c r="Z30" s="652">
        <v>22571207</v>
      </c>
      <c r="AA30" s="652">
        <f t="shared" si="5"/>
        <v>0</v>
      </c>
      <c r="AB30" s="652">
        <f t="shared" si="6"/>
        <v>2700</v>
      </c>
      <c r="AC30" s="652">
        <f t="shared" si="7"/>
        <v>22571.206999999999</v>
      </c>
    </row>
    <row r="31" spans="1:29" ht="13.5" x14ac:dyDescent="0.25">
      <c r="A31" s="652" t="s">
        <v>1031</v>
      </c>
      <c r="B31" s="593" t="s">
        <v>864</v>
      </c>
      <c r="C31" s="652" t="s">
        <v>429</v>
      </c>
      <c r="D31" s="593" t="s">
        <v>429</v>
      </c>
      <c r="E31" s="593">
        <v>1000</v>
      </c>
      <c r="F31" s="593">
        <v>0</v>
      </c>
      <c r="G31" s="593">
        <v>0</v>
      </c>
      <c r="H31" s="652">
        <f t="shared" si="1"/>
        <v>1</v>
      </c>
      <c r="I31" s="652">
        <f t="shared" si="2"/>
        <v>0</v>
      </c>
      <c r="J31" s="652">
        <f t="shared" si="3"/>
        <v>0</v>
      </c>
      <c r="T31" s="592" t="s">
        <v>1030</v>
      </c>
      <c r="U31" s="592" t="s">
        <v>854</v>
      </c>
      <c r="V31" s="649" t="s">
        <v>429</v>
      </c>
      <c r="W31" s="592" t="s">
        <v>429</v>
      </c>
      <c r="X31" s="652">
        <v>1000</v>
      </c>
      <c r="Y31" s="652">
        <v>0</v>
      </c>
      <c r="Z31" s="652">
        <v>0</v>
      </c>
      <c r="AA31" s="652">
        <f t="shared" si="5"/>
        <v>1</v>
      </c>
      <c r="AB31" s="652">
        <f t="shared" si="6"/>
        <v>0</v>
      </c>
      <c r="AC31" s="652">
        <f t="shared" si="7"/>
        <v>0</v>
      </c>
    </row>
    <row r="32" spans="1:29" ht="13.5" x14ac:dyDescent="0.25">
      <c r="A32" s="652" t="s">
        <v>860</v>
      </c>
      <c r="B32" s="593" t="s">
        <v>51</v>
      </c>
      <c r="C32" s="652" t="s">
        <v>429</v>
      </c>
      <c r="D32" s="593" t="s">
        <v>429</v>
      </c>
      <c r="E32" s="593">
        <v>16000</v>
      </c>
      <c r="F32" s="593">
        <v>0</v>
      </c>
      <c r="G32" s="593">
        <v>0</v>
      </c>
      <c r="H32" s="652">
        <f t="shared" si="1"/>
        <v>16</v>
      </c>
      <c r="I32" s="652">
        <f t="shared" si="2"/>
        <v>0</v>
      </c>
      <c r="J32" s="652">
        <f t="shared" si="3"/>
        <v>0</v>
      </c>
      <c r="T32" s="592" t="s">
        <v>893</v>
      </c>
      <c r="U32" s="592" t="s">
        <v>894</v>
      </c>
      <c r="V32" s="649" t="s">
        <v>429</v>
      </c>
      <c r="W32" s="592" t="s">
        <v>429</v>
      </c>
      <c r="X32" s="652">
        <v>1000</v>
      </c>
      <c r="Y32" s="652">
        <v>0</v>
      </c>
      <c r="Z32" s="652">
        <v>0</v>
      </c>
      <c r="AA32" s="652">
        <f t="shared" si="5"/>
        <v>1</v>
      </c>
      <c r="AB32" s="652">
        <f t="shared" si="6"/>
        <v>0</v>
      </c>
      <c r="AC32" s="652">
        <f t="shared" si="7"/>
        <v>0</v>
      </c>
    </row>
    <row r="33" spans="1:29" ht="13.5" x14ac:dyDescent="0.25">
      <c r="A33" s="652" t="s">
        <v>443</v>
      </c>
      <c r="B33" s="593" t="s">
        <v>444</v>
      </c>
      <c r="C33" s="652" t="s">
        <v>429</v>
      </c>
      <c r="D33" s="593" t="s">
        <v>429</v>
      </c>
      <c r="E33" s="593">
        <v>636942000</v>
      </c>
      <c r="F33" s="593">
        <v>0</v>
      </c>
      <c r="G33" s="593">
        <v>0</v>
      </c>
      <c r="H33" s="652">
        <f t="shared" si="1"/>
        <v>636942</v>
      </c>
      <c r="I33" s="652">
        <f t="shared" si="2"/>
        <v>0</v>
      </c>
      <c r="J33" s="652">
        <f t="shared" si="3"/>
        <v>0</v>
      </c>
      <c r="T33" s="592" t="s">
        <v>999</v>
      </c>
      <c r="U33" s="592" t="s">
        <v>863</v>
      </c>
      <c r="V33" s="649" t="s">
        <v>429</v>
      </c>
      <c r="W33" s="592" t="s">
        <v>429</v>
      </c>
      <c r="X33" s="652">
        <v>1000</v>
      </c>
      <c r="Y33" s="652">
        <v>0</v>
      </c>
      <c r="Z33" s="652">
        <v>0</v>
      </c>
      <c r="AA33" s="652">
        <f t="shared" si="5"/>
        <v>1</v>
      </c>
      <c r="AB33" s="652">
        <f t="shared" si="6"/>
        <v>0</v>
      </c>
      <c r="AC33" s="652">
        <f t="shared" si="7"/>
        <v>0</v>
      </c>
    </row>
    <row r="34" spans="1:29" ht="13.5" x14ac:dyDescent="0.25">
      <c r="A34" s="652" t="s">
        <v>445</v>
      </c>
      <c r="B34" s="593" t="s">
        <v>446</v>
      </c>
      <c r="C34" s="652" t="s">
        <v>429</v>
      </c>
      <c r="D34" s="593" t="s">
        <v>429</v>
      </c>
      <c r="E34" s="593">
        <v>311367398</v>
      </c>
      <c r="F34" s="593">
        <v>0</v>
      </c>
      <c r="G34" s="593">
        <v>0</v>
      </c>
      <c r="H34" s="652">
        <f t="shared" si="1"/>
        <v>311367.39799999999</v>
      </c>
      <c r="I34" s="652">
        <f t="shared" si="2"/>
        <v>0</v>
      </c>
      <c r="J34" s="652">
        <f t="shared" si="3"/>
        <v>0</v>
      </c>
      <c r="T34" s="592" t="s">
        <v>1031</v>
      </c>
      <c r="U34" s="592" t="s">
        <v>864</v>
      </c>
      <c r="V34" s="649" t="s">
        <v>429</v>
      </c>
      <c r="W34" s="592" t="s">
        <v>429</v>
      </c>
      <c r="X34" s="652">
        <v>1000</v>
      </c>
      <c r="Y34" s="652">
        <v>0</v>
      </c>
      <c r="Z34" s="652">
        <v>0</v>
      </c>
      <c r="AA34" s="652">
        <f t="shared" si="5"/>
        <v>1</v>
      </c>
      <c r="AB34" s="652">
        <f t="shared" si="6"/>
        <v>0</v>
      </c>
      <c r="AC34" s="652">
        <f t="shared" si="7"/>
        <v>0</v>
      </c>
    </row>
    <row r="35" spans="1:29" ht="13.5" x14ac:dyDescent="0.25">
      <c r="A35" s="652" t="s">
        <v>445</v>
      </c>
      <c r="B35" s="593" t="s">
        <v>446</v>
      </c>
      <c r="C35" s="652" t="s">
        <v>429</v>
      </c>
      <c r="D35" s="593" t="s">
        <v>429</v>
      </c>
      <c r="E35" s="593">
        <v>0</v>
      </c>
      <c r="F35" s="593">
        <v>0</v>
      </c>
      <c r="G35" s="593">
        <v>171606990</v>
      </c>
      <c r="H35" s="652">
        <f t="shared" si="1"/>
        <v>0</v>
      </c>
      <c r="I35" s="652">
        <f t="shared" si="2"/>
        <v>0</v>
      </c>
      <c r="J35" s="652">
        <f t="shared" si="3"/>
        <v>171606.99</v>
      </c>
      <c r="T35" s="592" t="s">
        <v>860</v>
      </c>
      <c r="U35" s="592" t="s">
        <v>51</v>
      </c>
      <c r="V35" s="649" t="s">
        <v>429</v>
      </c>
      <c r="W35" s="592" t="s">
        <v>429</v>
      </c>
      <c r="X35" s="652">
        <v>16000</v>
      </c>
      <c r="Y35" s="652">
        <v>0</v>
      </c>
      <c r="Z35" s="652">
        <v>0</v>
      </c>
      <c r="AA35" s="652">
        <f t="shared" si="5"/>
        <v>16</v>
      </c>
      <c r="AB35" s="652">
        <f t="shared" si="6"/>
        <v>0</v>
      </c>
      <c r="AC35" s="652">
        <f t="shared" si="7"/>
        <v>0</v>
      </c>
    </row>
    <row r="36" spans="1:29" ht="13.5" x14ac:dyDescent="0.25">
      <c r="A36" s="652" t="s">
        <v>504</v>
      </c>
      <c r="B36" s="593" t="s">
        <v>507</v>
      </c>
      <c r="C36" s="652" t="s">
        <v>429</v>
      </c>
      <c r="D36" s="593" t="s">
        <v>429</v>
      </c>
      <c r="E36" s="593">
        <v>236820785</v>
      </c>
      <c r="F36" s="593">
        <v>0</v>
      </c>
      <c r="G36" s="593">
        <v>0</v>
      </c>
      <c r="H36" s="652">
        <f t="shared" si="1"/>
        <v>236820.785</v>
      </c>
      <c r="I36" s="652">
        <f t="shared" si="2"/>
        <v>0</v>
      </c>
      <c r="J36" s="652">
        <f t="shared" si="3"/>
        <v>0</v>
      </c>
      <c r="T36" s="592" t="s">
        <v>443</v>
      </c>
      <c r="U36" s="592" t="s">
        <v>444</v>
      </c>
      <c r="V36" s="649" t="s">
        <v>429</v>
      </c>
      <c r="W36" s="592" t="s">
        <v>429</v>
      </c>
      <c r="X36" s="652">
        <v>596942183</v>
      </c>
      <c r="Y36" s="652">
        <v>0</v>
      </c>
      <c r="Z36" s="652">
        <v>0</v>
      </c>
      <c r="AA36" s="652">
        <f t="shared" si="5"/>
        <v>596942.18299999996</v>
      </c>
      <c r="AB36" s="652">
        <f t="shared" si="6"/>
        <v>0</v>
      </c>
      <c r="AC36" s="652">
        <f t="shared" si="7"/>
        <v>0</v>
      </c>
    </row>
    <row r="37" spans="1:29" ht="13.5" x14ac:dyDescent="0.25">
      <c r="A37" s="652" t="s">
        <v>614</v>
      </c>
      <c r="B37" s="593" t="s">
        <v>615</v>
      </c>
      <c r="C37" s="652" t="s">
        <v>429</v>
      </c>
      <c r="D37" s="593" t="s">
        <v>429</v>
      </c>
      <c r="E37" s="593">
        <v>91100817</v>
      </c>
      <c r="F37" s="593">
        <v>0</v>
      </c>
      <c r="G37" s="593">
        <v>0</v>
      </c>
      <c r="H37" s="652">
        <f t="shared" si="1"/>
        <v>91100.816999999995</v>
      </c>
      <c r="I37" s="652">
        <f t="shared" si="2"/>
        <v>0</v>
      </c>
      <c r="J37" s="652">
        <f t="shared" si="3"/>
        <v>0</v>
      </c>
      <c r="T37" s="592" t="s">
        <v>445</v>
      </c>
      <c r="U37" s="592" t="s">
        <v>446</v>
      </c>
      <c r="V37" s="649" t="s">
        <v>429</v>
      </c>
      <c r="W37" s="592" t="s">
        <v>429</v>
      </c>
      <c r="X37" s="652">
        <v>315368000</v>
      </c>
      <c r="Y37" s="652">
        <v>0</v>
      </c>
      <c r="Z37" s="652">
        <v>0</v>
      </c>
      <c r="AA37" s="652">
        <f t="shared" si="5"/>
        <v>315368</v>
      </c>
      <c r="AB37" s="652">
        <f t="shared" si="6"/>
        <v>0</v>
      </c>
      <c r="AC37" s="652">
        <f t="shared" si="7"/>
        <v>0</v>
      </c>
    </row>
    <row r="38" spans="1:29" ht="13.5" x14ac:dyDescent="0.25">
      <c r="A38" s="652" t="s">
        <v>616</v>
      </c>
      <c r="B38" s="593" t="s">
        <v>617</v>
      </c>
      <c r="C38" s="652" t="s">
        <v>429</v>
      </c>
      <c r="D38" s="593" t="s">
        <v>429</v>
      </c>
      <c r="E38" s="593">
        <v>72000000</v>
      </c>
      <c r="F38" s="593">
        <v>0</v>
      </c>
      <c r="G38" s="593">
        <v>0</v>
      </c>
      <c r="H38" s="652">
        <f t="shared" si="1"/>
        <v>72000</v>
      </c>
      <c r="I38" s="652">
        <f t="shared" si="2"/>
        <v>0</v>
      </c>
      <c r="J38" s="652">
        <f t="shared" si="3"/>
        <v>0</v>
      </c>
      <c r="T38" s="592" t="s">
        <v>445</v>
      </c>
      <c r="U38" s="592" t="s">
        <v>446</v>
      </c>
      <c r="V38" s="649" t="s">
        <v>429</v>
      </c>
      <c r="W38" s="592" t="s">
        <v>429</v>
      </c>
      <c r="X38" s="652">
        <v>0</v>
      </c>
      <c r="Y38" s="652">
        <v>4506134</v>
      </c>
      <c r="Z38" s="652">
        <v>171606990</v>
      </c>
      <c r="AA38" s="652">
        <f t="shared" si="5"/>
        <v>0</v>
      </c>
      <c r="AB38" s="652">
        <f t="shared" si="6"/>
        <v>4506.134</v>
      </c>
      <c r="AC38" s="652">
        <f t="shared" si="7"/>
        <v>171606.99</v>
      </c>
    </row>
    <row r="39" spans="1:29" ht="13.5" x14ac:dyDescent="0.25">
      <c r="A39" s="652" t="s">
        <v>434</v>
      </c>
      <c r="B39" s="593" t="s">
        <v>127</v>
      </c>
      <c r="C39" s="652" t="s">
        <v>429</v>
      </c>
      <c r="D39" s="593" t="s">
        <v>429</v>
      </c>
      <c r="E39" s="593">
        <v>10000</v>
      </c>
      <c r="F39" s="593">
        <v>0</v>
      </c>
      <c r="G39" s="593">
        <v>0</v>
      </c>
      <c r="H39" s="652">
        <f t="shared" si="1"/>
        <v>10</v>
      </c>
      <c r="I39" s="652">
        <f t="shared" si="2"/>
        <v>0</v>
      </c>
      <c r="J39" s="652">
        <f t="shared" si="3"/>
        <v>0</v>
      </c>
      <c r="T39" s="592" t="s">
        <v>504</v>
      </c>
      <c r="U39" s="592" t="s">
        <v>507</v>
      </c>
      <c r="V39" s="649" t="s">
        <v>429</v>
      </c>
      <c r="W39" s="592" t="s">
        <v>429</v>
      </c>
      <c r="X39" s="652">
        <v>272819581</v>
      </c>
      <c r="Y39" s="652">
        <v>0</v>
      </c>
      <c r="Z39" s="652">
        <v>0</v>
      </c>
      <c r="AA39" s="652">
        <f t="shared" si="5"/>
        <v>272819.58100000001</v>
      </c>
      <c r="AB39" s="652">
        <f t="shared" si="6"/>
        <v>0</v>
      </c>
      <c r="AC39" s="652">
        <f t="shared" si="7"/>
        <v>0</v>
      </c>
    </row>
    <row r="40" spans="1:29" ht="13.5" x14ac:dyDescent="0.25">
      <c r="A40" s="652" t="s">
        <v>434</v>
      </c>
      <c r="B40" s="593" t="s">
        <v>127</v>
      </c>
      <c r="C40" s="652" t="s">
        <v>429</v>
      </c>
      <c r="D40" s="593" t="s">
        <v>429</v>
      </c>
      <c r="E40" s="593">
        <v>100</v>
      </c>
      <c r="F40" s="593">
        <v>0</v>
      </c>
      <c r="G40" s="593">
        <v>0</v>
      </c>
      <c r="H40" s="652">
        <f t="shared" si="1"/>
        <v>0.1</v>
      </c>
      <c r="I40" s="652">
        <f t="shared" si="2"/>
        <v>0</v>
      </c>
      <c r="J40" s="652">
        <f t="shared" si="3"/>
        <v>0</v>
      </c>
      <c r="T40" s="592" t="s">
        <v>614</v>
      </c>
      <c r="U40" s="592" t="s">
        <v>615</v>
      </c>
      <c r="V40" s="649" t="s">
        <v>429</v>
      </c>
      <c r="W40" s="592" t="s">
        <v>429</v>
      </c>
      <c r="X40" s="652">
        <v>91101236</v>
      </c>
      <c r="Y40" s="652">
        <v>0</v>
      </c>
      <c r="Z40" s="652">
        <v>0</v>
      </c>
      <c r="AA40" s="652">
        <f t="shared" si="5"/>
        <v>91101.236000000004</v>
      </c>
      <c r="AB40" s="652">
        <f t="shared" si="6"/>
        <v>0</v>
      </c>
      <c r="AC40" s="652">
        <f t="shared" si="7"/>
        <v>0</v>
      </c>
    </row>
    <row r="41" spans="1:29" ht="13.5" x14ac:dyDescent="0.25">
      <c r="A41" s="652" t="s">
        <v>434</v>
      </c>
      <c r="B41" s="593" t="s">
        <v>127</v>
      </c>
      <c r="C41" s="652" t="s">
        <v>429</v>
      </c>
      <c r="D41" s="593" t="s">
        <v>429</v>
      </c>
      <c r="E41" s="593">
        <v>0</v>
      </c>
      <c r="F41" s="593">
        <v>17434690</v>
      </c>
      <c r="G41" s="593">
        <v>17434690</v>
      </c>
      <c r="H41" s="652">
        <f t="shared" si="1"/>
        <v>0</v>
      </c>
      <c r="I41" s="652">
        <f t="shared" si="2"/>
        <v>17434.689999999999</v>
      </c>
      <c r="J41" s="652">
        <f t="shared" si="3"/>
        <v>17434.689999999999</v>
      </c>
      <c r="T41" s="592" t="s">
        <v>616</v>
      </c>
      <c r="U41" s="592" t="s">
        <v>617</v>
      </c>
      <c r="V41" s="649" t="s">
        <v>429</v>
      </c>
      <c r="W41" s="592" t="s">
        <v>429</v>
      </c>
      <c r="X41" s="652">
        <v>72000000</v>
      </c>
      <c r="Y41" s="652">
        <v>0</v>
      </c>
      <c r="Z41" s="652">
        <v>0</v>
      </c>
      <c r="AA41" s="652">
        <f t="shared" si="5"/>
        <v>72000</v>
      </c>
      <c r="AB41" s="652">
        <f t="shared" si="6"/>
        <v>0</v>
      </c>
      <c r="AC41" s="652">
        <f t="shared" si="7"/>
        <v>0</v>
      </c>
    </row>
    <row r="42" spans="1:29" ht="13.5" x14ac:dyDescent="0.25">
      <c r="A42" s="652" t="s">
        <v>434</v>
      </c>
      <c r="B42" s="593" t="s">
        <v>127</v>
      </c>
      <c r="C42" s="652" t="s">
        <v>429</v>
      </c>
      <c r="D42" s="593" t="s">
        <v>429</v>
      </c>
      <c r="E42" s="593">
        <v>0</v>
      </c>
      <c r="F42" s="593">
        <v>1247095345</v>
      </c>
      <c r="G42" s="593">
        <v>1247095345</v>
      </c>
      <c r="H42" s="652">
        <f t="shared" si="1"/>
        <v>0</v>
      </c>
      <c r="I42" s="652">
        <f t="shared" si="2"/>
        <v>1247095.345</v>
      </c>
      <c r="J42" s="652">
        <f t="shared" si="3"/>
        <v>1247095.345</v>
      </c>
      <c r="T42" s="592" t="s">
        <v>434</v>
      </c>
      <c r="U42" s="592" t="s">
        <v>127</v>
      </c>
      <c r="V42" s="649" t="s">
        <v>429</v>
      </c>
      <c r="W42" s="592" t="s">
        <v>429</v>
      </c>
      <c r="X42" s="652">
        <v>10000</v>
      </c>
      <c r="Y42" s="652">
        <v>0</v>
      </c>
      <c r="Z42" s="652">
        <v>0</v>
      </c>
      <c r="AA42" s="652">
        <f t="shared" si="5"/>
        <v>10</v>
      </c>
      <c r="AB42" s="652">
        <f t="shared" si="6"/>
        <v>0</v>
      </c>
      <c r="AC42" s="652">
        <f t="shared" si="7"/>
        <v>0</v>
      </c>
    </row>
    <row r="43" spans="1:29" ht="13.5" x14ac:dyDescent="0.25">
      <c r="A43" s="652" t="s">
        <v>434</v>
      </c>
      <c r="B43" s="593" t="s">
        <v>127</v>
      </c>
      <c r="C43" s="652" t="s">
        <v>429</v>
      </c>
      <c r="D43" s="593" t="s">
        <v>429</v>
      </c>
      <c r="E43" s="593">
        <v>0</v>
      </c>
      <c r="F43" s="593">
        <v>146002474</v>
      </c>
      <c r="G43" s="593">
        <v>146002474</v>
      </c>
      <c r="H43" s="652">
        <f t="shared" si="1"/>
        <v>0</v>
      </c>
      <c r="I43" s="652">
        <f t="shared" si="2"/>
        <v>146002.47399999999</v>
      </c>
      <c r="J43" s="652">
        <f t="shared" si="3"/>
        <v>146002.47399999999</v>
      </c>
      <c r="T43" s="592" t="s">
        <v>434</v>
      </c>
      <c r="U43" s="592" t="s">
        <v>127</v>
      </c>
      <c r="V43" s="649" t="s">
        <v>429</v>
      </c>
      <c r="W43" s="592" t="s">
        <v>429</v>
      </c>
      <c r="X43" s="652">
        <v>100</v>
      </c>
      <c r="Y43" s="652">
        <v>0</v>
      </c>
      <c r="Z43" s="652">
        <v>0</v>
      </c>
      <c r="AA43" s="652">
        <f t="shared" si="5"/>
        <v>0.1</v>
      </c>
      <c r="AB43" s="652">
        <f t="shared" si="6"/>
        <v>0</v>
      </c>
      <c r="AC43" s="652">
        <f t="shared" si="7"/>
        <v>0</v>
      </c>
    </row>
    <row r="44" spans="1:29" ht="13.5" x14ac:dyDescent="0.25">
      <c r="A44" s="652" t="s">
        <v>434</v>
      </c>
      <c r="B44" s="593" t="s">
        <v>127</v>
      </c>
      <c r="C44" s="652" t="s">
        <v>429</v>
      </c>
      <c r="D44" s="593" t="s">
        <v>429</v>
      </c>
      <c r="E44" s="593">
        <v>0</v>
      </c>
      <c r="F44" s="593">
        <v>0</v>
      </c>
      <c r="G44" s="593">
        <v>0</v>
      </c>
      <c r="H44" s="652">
        <f t="shared" si="1"/>
        <v>0</v>
      </c>
      <c r="I44" s="652">
        <f t="shared" si="2"/>
        <v>0</v>
      </c>
      <c r="J44" s="652">
        <f t="shared" si="3"/>
        <v>0</v>
      </c>
      <c r="T44" s="592" t="s">
        <v>434</v>
      </c>
      <c r="U44" s="592" t="s">
        <v>127</v>
      </c>
      <c r="V44" s="649" t="s">
        <v>429</v>
      </c>
      <c r="W44" s="592" t="s">
        <v>429</v>
      </c>
      <c r="X44" s="652">
        <v>0</v>
      </c>
      <c r="Y44" s="652">
        <v>0</v>
      </c>
      <c r="Z44" s="652">
        <v>0</v>
      </c>
      <c r="AA44" s="652">
        <f t="shared" si="5"/>
        <v>0</v>
      </c>
      <c r="AB44" s="652">
        <f t="shared" si="6"/>
        <v>0</v>
      </c>
      <c r="AC44" s="652">
        <f t="shared" si="7"/>
        <v>0</v>
      </c>
    </row>
    <row r="45" spans="1:29" ht="13.5" x14ac:dyDescent="0.25">
      <c r="H45" s="652"/>
      <c r="I45" s="652"/>
      <c r="J45" s="652"/>
      <c r="T45" s="592" t="s">
        <v>434</v>
      </c>
      <c r="U45" s="592" t="s">
        <v>127</v>
      </c>
      <c r="V45" s="649" t="s">
        <v>429</v>
      </c>
      <c r="W45" s="592" t="s">
        <v>429</v>
      </c>
      <c r="X45" s="652">
        <v>0</v>
      </c>
      <c r="Y45" s="652">
        <v>17434690</v>
      </c>
      <c r="Z45" s="652">
        <v>17434690</v>
      </c>
      <c r="AA45" s="652">
        <f t="shared" si="5"/>
        <v>0</v>
      </c>
      <c r="AB45" s="652">
        <f t="shared" si="6"/>
        <v>17434.689999999999</v>
      </c>
      <c r="AC45" s="652">
        <f t="shared" si="7"/>
        <v>17434.689999999999</v>
      </c>
    </row>
    <row r="46" spans="1:29" ht="13.5" x14ac:dyDescent="0.25">
      <c r="T46" s="592" t="s">
        <v>434</v>
      </c>
      <c r="U46" s="592" t="s">
        <v>127</v>
      </c>
      <c r="V46" s="649" t="s">
        <v>429</v>
      </c>
      <c r="W46" s="592" t="s">
        <v>429</v>
      </c>
      <c r="X46" s="652">
        <v>0</v>
      </c>
      <c r="Y46" s="652">
        <v>1247095345</v>
      </c>
      <c r="Z46" s="652">
        <v>1247095345</v>
      </c>
      <c r="AA46" s="652">
        <f t="shared" si="5"/>
        <v>0</v>
      </c>
      <c r="AB46" s="652">
        <f t="shared" si="6"/>
        <v>1247095.345</v>
      </c>
      <c r="AC46" s="652">
        <f t="shared" si="7"/>
        <v>1247095.345</v>
      </c>
    </row>
    <row r="47" spans="1:29" ht="13.5" x14ac:dyDescent="0.25">
      <c r="T47" s="592" t="s">
        <v>434</v>
      </c>
      <c r="U47" s="592" t="s">
        <v>127</v>
      </c>
      <c r="V47" s="649" t="s">
        <v>429</v>
      </c>
      <c r="W47" s="592" t="s">
        <v>429</v>
      </c>
      <c r="X47" s="652">
        <v>0</v>
      </c>
      <c r="Y47" s="652">
        <v>146002474</v>
      </c>
      <c r="Z47" s="652">
        <v>146002474</v>
      </c>
      <c r="AA47" s="652">
        <f t="shared" si="5"/>
        <v>0</v>
      </c>
      <c r="AB47" s="652">
        <f t="shared" si="6"/>
        <v>146002.47399999999</v>
      </c>
      <c r="AC47" s="652">
        <f t="shared" si="7"/>
        <v>146002.47399999999</v>
      </c>
    </row>
  </sheetData>
  <autoFilter ref="A2:L2" xr:uid="{9F3E3DB6-42EE-4332-8A27-379DA00EBEE9}"/>
  <mergeCells count="3">
    <mergeCell ref="A1:G1"/>
    <mergeCell ref="M1:P1"/>
    <mergeCell ref="T1:Z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5DFDD"/>
  </sheetPr>
  <dimension ref="A1:HD58"/>
  <sheetViews>
    <sheetView showGridLines="0" topLeftCell="L1" zoomScale="95" zoomScaleNormal="95" workbookViewId="0">
      <selection activeCell="Q11" sqref="Q11"/>
    </sheetView>
  </sheetViews>
  <sheetFormatPr baseColWidth="10" defaultColWidth="14.7109375" defaultRowHeight="12" x14ac:dyDescent="0.2"/>
  <cols>
    <col min="1" max="1" width="14.5703125" style="275" hidden="1" customWidth="1"/>
    <col min="2" max="2" width="37" style="275" hidden="1" customWidth="1"/>
    <col min="3" max="3" width="12.28515625" style="275" hidden="1" customWidth="1"/>
    <col min="4" max="4" width="33.85546875" style="275" hidden="1" customWidth="1"/>
    <col min="5" max="5" width="18.42578125" style="275" hidden="1" customWidth="1"/>
    <col min="6" max="6" width="16.28515625" style="275" hidden="1" customWidth="1"/>
    <col min="7" max="7" width="13.28515625" style="275" hidden="1" customWidth="1"/>
    <col min="8" max="8" width="14.5703125" style="275" hidden="1" customWidth="1"/>
    <col min="9" max="9" width="12.7109375" style="275" hidden="1" customWidth="1"/>
    <col min="10" max="10" width="13.28515625" style="275" hidden="1" customWidth="1"/>
    <col min="11" max="11" width="14.7109375" style="275" hidden="1" customWidth="1"/>
    <col min="12" max="17" width="14.7109375" style="275" customWidth="1"/>
    <col min="18" max="18" width="8.5703125" style="275" customWidth="1"/>
    <col min="19" max="19" width="14.7109375" style="275" customWidth="1"/>
    <col min="20" max="20" width="14.7109375" style="375" customWidth="1"/>
    <col min="21" max="21" width="14.7109375" style="275" customWidth="1"/>
    <col min="22" max="22" width="14.7109375" style="375" customWidth="1"/>
    <col min="23" max="25" width="14.7109375" style="275" hidden="1" customWidth="1"/>
    <col min="26" max="28" width="14.7109375" style="275" customWidth="1"/>
    <col min="29" max="103" width="14.7109375" style="275" hidden="1" customWidth="1"/>
    <col min="104" max="104" width="14.7109375" style="375" hidden="1" customWidth="1"/>
    <col min="105" max="105" width="14.7109375" style="275" hidden="1" customWidth="1"/>
    <col min="106" max="106" width="14.7109375" style="375" hidden="1" customWidth="1"/>
    <col min="107" max="110" width="14.7109375" style="275" hidden="1" customWidth="1"/>
    <col min="111" max="111" width="14.7109375" style="375" hidden="1" customWidth="1"/>
    <col min="112" max="112" width="14.7109375" style="275" hidden="1" customWidth="1"/>
    <col min="113" max="113" width="14.7109375" style="375" hidden="1" customWidth="1"/>
    <col min="114" max="128" width="14.7109375" style="275" hidden="1" customWidth="1"/>
    <col min="129" max="129" width="14.7109375" style="276" hidden="1" customWidth="1"/>
    <col min="130" max="130" width="14.7109375" style="275" hidden="1" customWidth="1"/>
    <col min="131" max="131" width="14.7109375" style="375" hidden="1" customWidth="1"/>
    <col min="132" max="139" width="14.7109375" style="275" hidden="1" customWidth="1"/>
    <col min="140" max="140" width="25.140625" style="375" hidden="1" customWidth="1"/>
    <col min="141" max="141" width="14.7109375" style="275" hidden="1" customWidth="1"/>
    <col min="142" max="142" width="37.28515625" style="275" hidden="1" customWidth="1"/>
    <col min="143" max="147" width="14.7109375" style="275" hidden="1" customWidth="1"/>
    <col min="148" max="148" width="14.7109375" style="375" hidden="1" customWidth="1"/>
    <col min="149" max="154" width="14.7109375" style="275" hidden="1" customWidth="1"/>
    <col min="155" max="155" width="14.7109375" style="372" hidden="1" customWidth="1"/>
    <col min="156" max="158" width="14.7109375" style="275" hidden="1" customWidth="1"/>
    <col min="159" max="159" width="44" style="275" hidden="1" customWidth="1"/>
    <col min="160" max="160" width="14.7109375" style="275" hidden="1" customWidth="1"/>
    <col min="161" max="161" width="41.140625" style="275" hidden="1" customWidth="1"/>
    <col min="162" max="164" width="14.7109375" style="372" hidden="1" customWidth="1"/>
    <col min="165" max="167" width="14.7109375" style="275" hidden="1" customWidth="1"/>
    <col min="168" max="168" width="44" style="370" hidden="1" customWidth="1"/>
    <col min="169" max="169" width="14.7109375" style="275" hidden="1" customWidth="1"/>
    <col min="170" max="170" width="41.28515625" style="275" hidden="1" customWidth="1"/>
    <col min="171" max="188" width="14.7109375" style="275" hidden="1" customWidth="1"/>
    <col min="189" max="191" width="14.7109375" style="372" hidden="1" customWidth="1"/>
    <col min="192" max="196" width="14.7109375" style="275" hidden="1" customWidth="1"/>
    <col min="197" max="197" width="14.7109375" style="375" hidden="1" customWidth="1"/>
    <col min="198" max="200" width="14.7109375" style="275" hidden="1" customWidth="1"/>
    <col min="201" max="201" width="10.140625" style="275" hidden="1" customWidth="1"/>
    <col min="202" max="202" width="14.7109375" style="275" hidden="1" customWidth="1"/>
    <col min="203" max="203" width="9.140625" style="275" hidden="1" customWidth="1"/>
    <col min="204" max="204" width="18.85546875" style="275" hidden="1" customWidth="1"/>
    <col min="205" max="205" width="9.5703125" style="275" hidden="1" customWidth="1"/>
    <col min="206" max="206" width="14.7109375" style="275" hidden="1" customWidth="1"/>
    <col min="207" max="209" width="14.7109375" style="491" hidden="1" customWidth="1"/>
    <col min="210" max="210" width="12.42578125" style="280" hidden="1" customWidth="1"/>
    <col min="211" max="212" width="12.42578125" style="275" hidden="1" customWidth="1"/>
    <col min="213" max="213" width="0" style="275" hidden="1" customWidth="1"/>
    <col min="214" max="16384" width="14.7109375" style="275"/>
  </cols>
  <sheetData>
    <row r="1" spans="1:212" s="259" customFormat="1" ht="14.45" customHeight="1" x14ac:dyDescent="0.2">
      <c r="A1" s="1305" t="s">
        <v>903</v>
      </c>
      <c r="B1" s="1305"/>
      <c r="C1" s="1305"/>
      <c r="D1" s="1305"/>
      <c r="E1" s="1305"/>
      <c r="F1" s="1305"/>
      <c r="G1" s="1305"/>
      <c r="H1" s="259">
        <v>1000</v>
      </c>
      <c r="I1" s="259">
        <v>1.042</v>
      </c>
      <c r="L1" s="1305" t="s">
        <v>136</v>
      </c>
      <c r="M1" s="1305"/>
      <c r="N1" s="1305"/>
      <c r="O1" s="1305"/>
      <c r="P1" s="259">
        <v>1000</v>
      </c>
      <c r="Q1" s="259">
        <v>1.042</v>
      </c>
      <c r="S1" s="1305" t="s">
        <v>909</v>
      </c>
      <c r="T1" s="1305"/>
      <c r="U1" s="1305"/>
      <c r="V1" s="1305"/>
      <c r="W1" s="1305"/>
      <c r="X1" s="1305"/>
      <c r="Y1" s="1305"/>
      <c r="Z1" s="1305"/>
      <c r="AA1" s="259">
        <v>1000</v>
      </c>
      <c r="AB1" s="259">
        <v>1.042</v>
      </c>
      <c r="AD1" s="1305" t="s">
        <v>923</v>
      </c>
      <c r="AE1" s="1305"/>
      <c r="AF1" s="1305"/>
      <c r="AG1" s="1305"/>
      <c r="AH1" s="259">
        <v>1000</v>
      </c>
      <c r="AI1" s="259">
        <v>1</v>
      </c>
      <c r="AK1" s="1305" t="s">
        <v>836</v>
      </c>
      <c r="AL1" s="1305"/>
      <c r="AM1" s="1305"/>
      <c r="AN1" s="1305"/>
      <c r="AO1" s="1305"/>
      <c r="AP1" s="1305"/>
      <c r="AQ1" s="1305"/>
      <c r="AR1" s="1305"/>
      <c r="AS1" s="259">
        <v>1000</v>
      </c>
      <c r="AT1" s="259">
        <v>1</v>
      </c>
      <c r="AV1" s="1305" t="s">
        <v>7</v>
      </c>
      <c r="AW1" s="1305"/>
      <c r="AX1" s="1305"/>
      <c r="AY1" s="1305"/>
      <c r="AZ1" s="259">
        <v>1000</v>
      </c>
      <c r="BA1" s="259">
        <v>1</v>
      </c>
      <c r="BC1" s="1305" t="s">
        <v>931</v>
      </c>
      <c r="BD1" s="1305"/>
      <c r="BE1" s="1305"/>
      <c r="BF1" s="1305"/>
      <c r="BG1" s="1305"/>
      <c r="BH1" s="1305"/>
      <c r="BI1" s="1305"/>
      <c r="BJ1" s="259">
        <v>1000</v>
      </c>
      <c r="BK1" s="259">
        <v>1</v>
      </c>
      <c r="BN1" s="1305" t="s">
        <v>8</v>
      </c>
      <c r="BO1" s="1305"/>
      <c r="BP1" s="1305"/>
      <c r="BQ1" s="1305"/>
      <c r="BR1" s="259">
        <v>1000</v>
      </c>
      <c r="BS1" s="259">
        <v>1000</v>
      </c>
      <c r="BT1" s="259">
        <v>1</v>
      </c>
      <c r="BV1" s="1305" t="s">
        <v>843</v>
      </c>
      <c r="BW1" s="1305"/>
      <c r="BX1" s="1305"/>
      <c r="BY1" s="1305"/>
      <c r="BZ1" s="1305"/>
      <c r="CA1" s="1305"/>
      <c r="CB1" s="1305"/>
      <c r="CC1" s="259">
        <v>1000</v>
      </c>
      <c r="CD1" s="259">
        <v>1</v>
      </c>
      <c r="CG1" s="1305" t="s">
        <v>9</v>
      </c>
      <c r="CH1" s="1305"/>
      <c r="CI1" s="1305"/>
      <c r="CJ1" s="1305"/>
      <c r="CK1" s="259">
        <v>1000</v>
      </c>
      <c r="CL1" s="259">
        <v>1</v>
      </c>
      <c r="CN1" s="1305" t="s">
        <v>853</v>
      </c>
      <c r="CO1" s="1305"/>
      <c r="CP1" s="1305"/>
      <c r="CQ1" s="1305"/>
      <c r="CR1" s="1305"/>
      <c r="CS1" s="1305"/>
      <c r="CT1" s="1305"/>
      <c r="CU1" s="1305"/>
      <c r="CV1" s="259">
        <v>1000</v>
      </c>
      <c r="CW1" s="259">
        <v>1</v>
      </c>
      <c r="CY1" s="1305" t="s">
        <v>79</v>
      </c>
      <c r="CZ1" s="1305"/>
      <c r="DA1" s="1305"/>
      <c r="DB1" s="1305"/>
      <c r="DC1" s="1305"/>
      <c r="DD1" s="259">
        <v>1000</v>
      </c>
      <c r="DE1" s="259">
        <v>1</v>
      </c>
      <c r="DF1" s="1305" t="s">
        <v>741</v>
      </c>
      <c r="DG1" s="1305"/>
      <c r="DH1" s="1305"/>
      <c r="DI1" s="1305"/>
      <c r="DJ1" s="1305"/>
      <c r="DK1" s="1305"/>
      <c r="DL1" s="1305"/>
      <c r="DM1" s="1305"/>
      <c r="DN1" s="259">
        <v>1000</v>
      </c>
      <c r="DO1" s="259">
        <v>1</v>
      </c>
      <c r="DQ1" s="1305" t="s">
        <v>10</v>
      </c>
      <c r="DR1" s="1305"/>
      <c r="DS1" s="1305"/>
      <c r="DT1" s="1305"/>
      <c r="DU1" s="1305"/>
      <c r="DV1" s="259">
        <v>1000</v>
      </c>
      <c r="DW1" s="259">
        <v>1</v>
      </c>
      <c r="DX1" s="1305" t="s">
        <v>743</v>
      </c>
      <c r="DY1" s="1305"/>
      <c r="DZ1" s="1305"/>
      <c r="EA1" s="1305"/>
      <c r="EB1" s="1305"/>
      <c r="EC1" s="1305"/>
      <c r="ED1" s="1305"/>
      <c r="EE1" s="259">
        <v>1000</v>
      </c>
      <c r="EF1" s="259">
        <v>1</v>
      </c>
      <c r="EI1" s="1305" t="s">
        <v>11</v>
      </c>
      <c r="EJ1" s="1305"/>
      <c r="EK1" s="1305"/>
      <c r="EL1" s="1305"/>
      <c r="EM1" s="1305"/>
      <c r="EN1" s="259">
        <v>1000</v>
      </c>
      <c r="EO1" s="259">
        <v>1</v>
      </c>
      <c r="EQ1" s="1305" t="s">
        <v>971</v>
      </c>
      <c r="ER1" s="1305"/>
      <c r="ES1" s="1305"/>
      <c r="ET1" s="1305"/>
      <c r="EU1" s="1305"/>
      <c r="EV1" s="1305"/>
      <c r="EW1" s="1305"/>
      <c r="EX1" s="1305"/>
      <c r="EY1" s="494">
        <v>1000</v>
      </c>
      <c r="EZ1" s="259">
        <v>1</v>
      </c>
      <c r="FB1" s="1306" t="s">
        <v>972</v>
      </c>
      <c r="FC1" s="1306"/>
      <c r="FD1" s="1306"/>
      <c r="FE1" s="1306"/>
      <c r="FF1" s="494"/>
      <c r="FG1" s="494"/>
      <c r="FH1" s="494"/>
      <c r="FI1" s="259">
        <v>1000</v>
      </c>
      <c r="FJ1" s="259">
        <v>1</v>
      </c>
      <c r="FK1" s="1306" t="s">
        <v>973</v>
      </c>
      <c r="FL1" s="1306"/>
      <c r="FM1" s="1306"/>
      <c r="FN1" s="1306"/>
      <c r="FO1" s="1306"/>
      <c r="FP1" s="1306"/>
      <c r="FQ1" s="1306"/>
      <c r="FR1" s="259">
        <v>1000</v>
      </c>
      <c r="FS1" s="259">
        <v>1</v>
      </c>
      <c r="FV1" s="1305" t="s">
        <v>13</v>
      </c>
      <c r="FW1" s="1305"/>
      <c r="FX1" s="1305"/>
      <c r="FY1" s="1305"/>
      <c r="FZ1" s="259">
        <v>1000</v>
      </c>
      <c r="GA1" s="259">
        <v>1</v>
      </c>
      <c r="GC1" s="1305" t="s">
        <v>763</v>
      </c>
      <c r="GD1" s="1305"/>
      <c r="GE1" s="1305"/>
      <c r="GF1" s="1305"/>
      <c r="GG1" s="1305"/>
      <c r="GH1" s="1305"/>
      <c r="GI1" s="1305"/>
      <c r="GJ1" s="259">
        <v>1000</v>
      </c>
      <c r="GK1" s="259">
        <v>1</v>
      </c>
      <c r="GN1" s="1305" t="s">
        <v>1000</v>
      </c>
      <c r="GO1" s="1305"/>
      <c r="GP1" s="1305"/>
      <c r="GQ1" s="1305"/>
      <c r="GR1" s="259">
        <v>1000</v>
      </c>
      <c r="GS1" s="259">
        <v>1</v>
      </c>
      <c r="GU1" s="1305" t="s">
        <v>1001</v>
      </c>
      <c r="GV1" s="1305"/>
      <c r="GW1" s="1305"/>
      <c r="GX1" s="1305"/>
      <c r="GY1" s="1305"/>
      <c r="GZ1" s="1305"/>
      <c r="HA1" s="1305"/>
      <c r="HB1" s="356">
        <v>1000</v>
      </c>
      <c r="HC1" s="259">
        <v>1</v>
      </c>
    </row>
    <row r="2" spans="1:212" s="274" customFormat="1" ht="36" x14ac:dyDescent="0.2">
      <c r="A2" s="386" t="s">
        <v>410</v>
      </c>
      <c r="B2" s="386" t="s">
        <v>435</v>
      </c>
      <c r="C2" s="386" t="s">
        <v>411</v>
      </c>
      <c r="D2" s="386" t="s">
        <v>505</v>
      </c>
      <c r="E2" s="386" t="s">
        <v>447</v>
      </c>
      <c r="F2" s="386" t="s">
        <v>466</v>
      </c>
      <c r="G2" s="386" t="s">
        <v>413</v>
      </c>
      <c r="H2" s="386" t="s">
        <v>924</v>
      </c>
      <c r="I2" s="386" t="s">
        <v>930</v>
      </c>
      <c r="J2" s="386" t="s">
        <v>929</v>
      </c>
      <c r="L2" s="285" t="s">
        <v>410</v>
      </c>
      <c r="M2" s="285" t="s">
        <v>435</v>
      </c>
      <c r="N2" s="285" t="s">
        <v>411</v>
      </c>
      <c r="O2" s="285" t="s">
        <v>505</v>
      </c>
      <c r="P2" s="285" t="s">
        <v>413</v>
      </c>
      <c r="Q2" s="285" t="s">
        <v>413</v>
      </c>
      <c r="S2" s="285" t="s">
        <v>410</v>
      </c>
      <c r="T2" s="285" t="s">
        <v>435</v>
      </c>
      <c r="U2" s="285" t="s">
        <v>411</v>
      </c>
      <c r="V2" s="285" t="s">
        <v>505</v>
      </c>
      <c r="W2" s="285" t="s">
        <v>447</v>
      </c>
      <c r="X2" s="285" t="s">
        <v>466</v>
      </c>
      <c r="Y2" s="285" t="s">
        <v>413</v>
      </c>
      <c r="Z2" s="285" t="s">
        <v>924</v>
      </c>
      <c r="AA2" s="285" t="s">
        <v>930</v>
      </c>
      <c r="AB2" s="285" t="s">
        <v>929</v>
      </c>
      <c r="AD2" s="285" t="s">
        <v>410</v>
      </c>
      <c r="AE2" s="285" t="s">
        <v>435</v>
      </c>
      <c r="AF2" s="285" t="s">
        <v>411</v>
      </c>
      <c r="AG2" s="285" t="s">
        <v>505</v>
      </c>
      <c r="AH2" s="285" t="s">
        <v>413</v>
      </c>
      <c r="AI2" s="285" t="s">
        <v>413</v>
      </c>
      <c r="AK2" s="285" t="s">
        <v>410</v>
      </c>
      <c r="AL2" s="285" t="s">
        <v>435</v>
      </c>
      <c r="AM2" s="285" t="s">
        <v>411</v>
      </c>
      <c r="AN2" s="285" t="s">
        <v>505</v>
      </c>
      <c r="AO2" s="285" t="s">
        <v>447</v>
      </c>
      <c r="AP2" s="285" t="s">
        <v>466</v>
      </c>
      <c r="AQ2" s="285" t="s">
        <v>413</v>
      </c>
      <c r="AR2" s="285" t="s">
        <v>924</v>
      </c>
      <c r="AS2" s="285" t="s">
        <v>466</v>
      </c>
      <c r="AT2" s="285" t="s">
        <v>413</v>
      </c>
      <c r="AV2" s="285" t="s">
        <v>410</v>
      </c>
      <c r="AW2" s="285" t="s">
        <v>435</v>
      </c>
      <c r="AX2" s="285" t="s">
        <v>411</v>
      </c>
      <c r="AY2" s="285" t="s">
        <v>505</v>
      </c>
      <c r="AZ2" s="285" t="s">
        <v>413</v>
      </c>
      <c r="BA2" s="285" t="s">
        <v>929</v>
      </c>
      <c r="BC2" s="285" t="s">
        <v>410</v>
      </c>
      <c r="BD2" s="285" t="s">
        <v>435</v>
      </c>
      <c r="BE2" s="285" t="s">
        <v>411</v>
      </c>
      <c r="BF2" s="285" t="s">
        <v>505</v>
      </c>
      <c r="BG2" s="285" t="s">
        <v>447</v>
      </c>
      <c r="BH2" s="285" t="s">
        <v>466</v>
      </c>
      <c r="BI2" s="285" t="s">
        <v>413</v>
      </c>
      <c r="BJ2" s="285" t="s">
        <v>924</v>
      </c>
      <c r="BK2" s="285" t="s">
        <v>930</v>
      </c>
      <c r="BL2" s="285" t="s">
        <v>929</v>
      </c>
      <c r="BN2" s="285" t="s">
        <v>410</v>
      </c>
      <c r="BO2" s="285" t="s">
        <v>435</v>
      </c>
      <c r="BP2" s="285" t="s">
        <v>411</v>
      </c>
      <c r="BQ2" s="285" t="s">
        <v>505</v>
      </c>
      <c r="BR2" s="285" t="s">
        <v>413</v>
      </c>
      <c r="BS2" s="285" t="s">
        <v>413</v>
      </c>
      <c r="BV2" s="285" t="s">
        <v>410</v>
      </c>
      <c r="BW2" s="285" t="s">
        <v>435</v>
      </c>
      <c r="BX2" s="285" t="s">
        <v>411</v>
      </c>
      <c r="BY2" s="285" t="s">
        <v>505</v>
      </c>
      <c r="BZ2" s="285" t="s">
        <v>447</v>
      </c>
      <c r="CA2" s="285" t="s">
        <v>466</v>
      </c>
      <c r="CB2" s="285" t="s">
        <v>413</v>
      </c>
      <c r="CC2" s="285" t="s">
        <v>924</v>
      </c>
      <c r="CD2" s="285" t="s">
        <v>938</v>
      </c>
      <c r="CE2" s="285" t="s">
        <v>939</v>
      </c>
      <c r="CG2" s="285" t="s">
        <v>410</v>
      </c>
      <c r="CH2" s="285" t="s">
        <v>435</v>
      </c>
      <c r="CI2" s="285" t="s">
        <v>411</v>
      </c>
      <c r="CJ2" s="285" t="s">
        <v>505</v>
      </c>
      <c r="CK2" s="285" t="s">
        <v>413</v>
      </c>
      <c r="CL2" s="285" t="s">
        <v>929</v>
      </c>
      <c r="CN2" s="285" t="s">
        <v>410</v>
      </c>
      <c r="CO2" s="285" t="s">
        <v>435</v>
      </c>
      <c r="CP2" s="285" t="s">
        <v>411</v>
      </c>
      <c r="CQ2" s="285" t="s">
        <v>505</v>
      </c>
      <c r="CR2" s="285" t="s">
        <v>447</v>
      </c>
      <c r="CS2" s="285" t="s">
        <v>466</v>
      </c>
      <c r="CT2" s="285" t="s">
        <v>413</v>
      </c>
      <c r="CU2" s="285" t="s">
        <v>924</v>
      </c>
      <c r="CV2" s="285" t="s">
        <v>938</v>
      </c>
      <c r="CW2" s="285" t="s">
        <v>939</v>
      </c>
      <c r="CY2" s="285" t="s">
        <v>410</v>
      </c>
      <c r="CZ2" s="285" t="s">
        <v>435</v>
      </c>
      <c r="DA2" s="285" t="s">
        <v>411</v>
      </c>
      <c r="DB2" s="285" t="s">
        <v>505</v>
      </c>
      <c r="DC2" s="285" t="s">
        <v>413</v>
      </c>
      <c r="DD2" s="285" t="s">
        <v>929</v>
      </c>
      <c r="DF2" s="285" t="s">
        <v>410</v>
      </c>
      <c r="DG2" s="285" t="s">
        <v>435</v>
      </c>
      <c r="DH2" s="285" t="s">
        <v>411</v>
      </c>
      <c r="DI2" s="285" t="s">
        <v>505</v>
      </c>
      <c r="DJ2" s="285" t="s">
        <v>447</v>
      </c>
      <c r="DK2" s="285" t="s">
        <v>466</v>
      </c>
      <c r="DL2" s="285" t="s">
        <v>413</v>
      </c>
      <c r="DM2" s="285" t="s">
        <v>924</v>
      </c>
      <c r="DN2" s="285" t="s">
        <v>938</v>
      </c>
      <c r="DO2" s="285" t="s">
        <v>939</v>
      </c>
      <c r="DQ2" s="285" t="s">
        <v>410</v>
      </c>
      <c r="DR2" s="285" t="s">
        <v>435</v>
      </c>
      <c r="DS2" s="285" t="s">
        <v>411</v>
      </c>
      <c r="DT2" s="285" t="s">
        <v>505</v>
      </c>
      <c r="DU2" s="285" t="s">
        <v>413</v>
      </c>
      <c r="DV2" s="285" t="s">
        <v>413</v>
      </c>
      <c r="DX2" s="285" t="s">
        <v>410</v>
      </c>
      <c r="DY2" s="285" t="s">
        <v>435</v>
      </c>
      <c r="DZ2" s="285" t="s">
        <v>411</v>
      </c>
      <c r="EA2" s="285" t="s">
        <v>505</v>
      </c>
      <c r="EB2" s="285" t="s">
        <v>447</v>
      </c>
      <c r="EC2" s="285" t="s">
        <v>466</v>
      </c>
      <c r="ED2" s="285" t="s">
        <v>413</v>
      </c>
      <c r="EE2" s="285" t="s">
        <v>924</v>
      </c>
      <c r="EF2" s="285" t="s">
        <v>938</v>
      </c>
      <c r="EG2" s="285" t="s">
        <v>939</v>
      </c>
      <c r="EI2" s="285" t="s">
        <v>410</v>
      </c>
      <c r="EJ2" s="285" t="s">
        <v>435</v>
      </c>
      <c r="EK2" s="285" t="s">
        <v>411</v>
      </c>
      <c r="EL2" s="285" t="s">
        <v>505</v>
      </c>
      <c r="EM2" s="285" t="s">
        <v>413</v>
      </c>
      <c r="EN2" s="285" t="s">
        <v>929</v>
      </c>
      <c r="EQ2" s="285" t="s">
        <v>410</v>
      </c>
      <c r="ER2" s="285" t="s">
        <v>435</v>
      </c>
      <c r="ES2" s="285" t="s">
        <v>411</v>
      </c>
      <c r="ET2" s="285" t="s">
        <v>505</v>
      </c>
      <c r="EU2" s="285" t="s">
        <v>447</v>
      </c>
      <c r="EV2" s="285" t="s">
        <v>413</v>
      </c>
      <c r="EW2" s="285" t="s">
        <v>466</v>
      </c>
      <c r="EX2" s="285" t="s">
        <v>924</v>
      </c>
      <c r="EY2" s="285" t="s">
        <v>929</v>
      </c>
      <c r="EZ2" s="285" t="s">
        <v>930</v>
      </c>
      <c r="FB2" s="285" t="s">
        <v>410</v>
      </c>
      <c r="FC2" s="285" t="s">
        <v>435</v>
      </c>
      <c r="FD2" s="285" t="s">
        <v>411</v>
      </c>
      <c r="FE2" s="285" t="s">
        <v>505</v>
      </c>
      <c r="FF2" s="285" t="s">
        <v>447</v>
      </c>
      <c r="FG2" s="285" t="s">
        <v>466</v>
      </c>
      <c r="FH2" s="285" t="s">
        <v>413</v>
      </c>
      <c r="FI2" s="285" t="s">
        <v>413</v>
      </c>
      <c r="FK2" s="285" t="s">
        <v>410</v>
      </c>
      <c r="FL2" s="285" t="s">
        <v>435</v>
      </c>
      <c r="FM2" s="285" t="s">
        <v>411</v>
      </c>
      <c r="FN2" s="285" t="s">
        <v>505</v>
      </c>
      <c r="FO2" s="285" t="s">
        <v>447</v>
      </c>
      <c r="FP2" s="285" t="s">
        <v>466</v>
      </c>
      <c r="FQ2" s="285" t="s">
        <v>413</v>
      </c>
      <c r="FR2" s="285" t="s">
        <v>447</v>
      </c>
      <c r="FS2" s="285" t="s">
        <v>466</v>
      </c>
      <c r="FT2" s="285" t="s">
        <v>413</v>
      </c>
      <c r="FV2" s="285" t="s">
        <v>410</v>
      </c>
      <c r="FW2" s="285" t="s">
        <v>435</v>
      </c>
      <c r="FX2" s="285" t="s">
        <v>411</v>
      </c>
      <c r="FY2" s="285" t="s">
        <v>505</v>
      </c>
      <c r="FZ2" s="285" t="s">
        <v>413</v>
      </c>
      <c r="GA2" s="285" t="s">
        <v>413</v>
      </c>
      <c r="GC2" s="285" t="s">
        <v>410</v>
      </c>
      <c r="GD2" s="285" t="s">
        <v>435</v>
      </c>
      <c r="GE2" s="285" t="s">
        <v>411</v>
      </c>
      <c r="GF2" s="285" t="s">
        <v>505</v>
      </c>
      <c r="GG2" s="285" t="s">
        <v>447</v>
      </c>
      <c r="GH2" s="285" t="s">
        <v>466</v>
      </c>
      <c r="GI2" s="285" t="s">
        <v>413</v>
      </c>
      <c r="GJ2" s="285" t="s">
        <v>924</v>
      </c>
      <c r="GK2" s="285" t="s">
        <v>930</v>
      </c>
      <c r="GL2" s="285" t="s">
        <v>929</v>
      </c>
      <c r="GN2" s="492" t="s">
        <v>410</v>
      </c>
      <c r="GO2" s="492" t="s">
        <v>435</v>
      </c>
      <c r="GP2" s="492" t="s">
        <v>411</v>
      </c>
      <c r="GQ2" s="492" t="s">
        <v>505</v>
      </c>
      <c r="GR2" s="492" t="s">
        <v>413</v>
      </c>
      <c r="GS2" s="492" t="s">
        <v>929</v>
      </c>
      <c r="GU2" s="492" t="s">
        <v>410</v>
      </c>
      <c r="GV2" s="492" t="s">
        <v>435</v>
      </c>
      <c r="GW2" s="492" t="s">
        <v>411</v>
      </c>
      <c r="GX2" s="492" t="s">
        <v>505</v>
      </c>
      <c r="GY2" s="493" t="s">
        <v>447</v>
      </c>
      <c r="GZ2" s="493" t="s">
        <v>413</v>
      </c>
      <c r="HA2" s="493" t="s">
        <v>466</v>
      </c>
      <c r="HB2" s="493" t="s">
        <v>924</v>
      </c>
      <c r="HC2" s="493" t="s">
        <v>929</v>
      </c>
      <c r="HD2" s="493" t="s">
        <v>930</v>
      </c>
    </row>
    <row r="3" spans="1:212" ht="15" customHeight="1" x14ac:dyDescent="0.2">
      <c r="A3" s="286" t="s">
        <v>414</v>
      </c>
      <c r="B3" s="286" t="s">
        <v>436</v>
      </c>
      <c r="C3" s="286" t="s">
        <v>439</v>
      </c>
      <c r="D3" s="286" t="s">
        <v>267</v>
      </c>
      <c r="E3" s="287">
        <v>1129083000</v>
      </c>
      <c r="F3" s="287">
        <v>0</v>
      </c>
      <c r="G3" s="287">
        <v>0</v>
      </c>
      <c r="H3" s="371">
        <f>+E3/$H$1*$I$1</f>
        <v>1176504.486</v>
      </c>
      <c r="I3" s="371">
        <f>+F3/$H$1*$I$1</f>
        <v>0</v>
      </c>
      <c r="J3" s="371">
        <f>+G3/$H$1*$I$1</f>
        <v>0</v>
      </c>
      <c r="L3" s="359" t="s">
        <v>414</v>
      </c>
      <c r="M3" s="360" t="s">
        <v>436</v>
      </c>
      <c r="N3" s="359" t="s">
        <v>639</v>
      </c>
      <c r="O3" s="360" t="s">
        <v>640</v>
      </c>
      <c r="P3" s="361">
        <v>3330000</v>
      </c>
      <c r="Q3" s="361">
        <f>+P3/$P$1*$Q$1</f>
        <v>3469.86</v>
      </c>
      <c r="S3" s="286" t="s">
        <v>414</v>
      </c>
      <c r="T3" s="288" t="s">
        <v>436</v>
      </c>
      <c r="U3" s="286" t="s">
        <v>439</v>
      </c>
      <c r="V3" s="288" t="s">
        <v>267</v>
      </c>
      <c r="W3" s="287">
        <v>1129083000</v>
      </c>
      <c r="X3" s="287">
        <v>0</v>
      </c>
      <c r="Y3" s="287">
        <v>0</v>
      </c>
      <c r="Z3" s="361">
        <f>+W3/$AA$1*$AB$1</f>
        <v>1176504.486</v>
      </c>
      <c r="AA3" s="361">
        <f>+X3/$AA$1*$AB$1</f>
        <v>0</v>
      </c>
      <c r="AB3" s="361">
        <f>+Y3/$AA$1*$AB$1</f>
        <v>0</v>
      </c>
      <c r="AD3" s="286" t="s">
        <v>414</v>
      </c>
      <c r="AE3" s="286" t="s">
        <v>436</v>
      </c>
      <c r="AF3" s="286" t="s">
        <v>639</v>
      </c>
      <c r="AG3" s="288" t="s">
        <v>640</v>
      </c>
      <c r="AH3" s="287">
        <v>3330000</v>
      </c>
      <c r="AI3" s="287">
        <f>+AH3/$AH$1*$AI$1</f>
        <v>3330</v>
      </c>
      <c r="AK3" s="286" t="s">
        <v>414</v>
      </c>
      <c r="AL3" s="286" t="s">
        <v>436</v>
      </c>
      <c r="AM3" s="286" t="s">
        <v>439</v>
      </c>
      <c r="AN3" s="286" t="s">
        <v>267</v>
      </c>
      <c r="AO3" s="287">
        <v>1129083000</v>
      </c>
      <c r="AP3" s="287">
        <v>0</v>
      </c>
      <c r="AQ3" s="287">
        <v>0</v>
      </c>
      <c r="AR3" s="287">
        <f>+AO3/$AS$1*$AT$1</f>
        <v>1129083</v>
      </c>
      <c r="AS3" s="287">
        <f>+AP3/$AS$1*$AT$1</f>
        <v>0</v>
      </c>
      <c r="AT3" s="287">
        <f>+AQ3/$AS$1*$AT$1</f>
        <v>0</v>
      </c>
      <c r="AV3" s="286" t="s">
        <v>414</v>
      </c>
      <c r="AW3" s="286" t="s">
        <v>436</v>
      </c>
      <c r="AX3" s="286" t="s">
        <v>639</v>
      </c>
      <c r="AY3" s="286" t="s">
        <v>640</v>
      </c>
      <c r="AZ3" s="287">
        <v>3330000</v>
      </c>
      <c r="BA3" s="372">
        <f>+AZ3/$AZ$1*$BA$1</f>
        <v>3330</v>
      </c>
      <c r="BC3" s="286" t="s">
        <v>414</v>
      </c>
      <c r="BD3" s="286" t="s">
        <v>436</v>
      </c>
      <c r="BE3" s="286" t="s">
        <v>439</v>
      </c>
      <c r="BF3" s="286" t="s">
        <v>267</v>
      </c>
      <c r="BG3" s="287">
        <v>1189083000</v>
      </c>
      <c r="BH3" s="287">
        <v>0</v>
      </c>
      <c r="BI3" s="287">
        <v>0</v>
      </c>
      <c r="BJ3" s="372">
        <f>+BG3/$BJ$1*$BK$1</f>
        <v>1189083</v>
      </c>
      <c r="BK3" s="372">
        <f>+BH3/$BJ$1*$BK$1</f>
        <v>0</v>
      </c>
      <c r="BL3" s="372">
        <f>+BI3/$BJ$1*$BK$1</f>
        <v>0</v>
      </c>
      <c r="BN3" s="286" t="s">
        <v>414</v>
      </c>
      <c r="BO3" s="286" t="s">
        <v>436</v>
      </c>
      <c r="BP3" s="286" t="s">
        <v>639</v>
      </c>
      <c r="BQ3" s="286" t="s">
        <v>640</v>
      </c>
      <c r="BR3" s="287">
        <v>3330000</v>
      </c>
      <c r="BS3" s="287">
        <f>+BR3/$BS$1*$BT$1</f>
        <v>3330</v>
      </c>
      <c r="BV3" s="286" t="s">
        <v>414</v>
      </c>
      <c r="BW3" s="286" t="s">
        <v>436</v>
      </c>
      <c r="BX3" s="286" t="s">
        <v>439</v>
      </c>
      <c r="BY3" s="286" t="s">
        <v>267</v>
      </c>
      <c r="BZ3" s="287">
        <v>1189083000</v>
      </c>
      <c r="CA3" s="287">
        <v>0</v>
      </c>
      <c r="CB3" s="287">
        <v>0</v>
      </c>
      <c r="CC3" s="287">
        <f>+BZ3/$CC$1*$CD$1</f>
        <v>1189083</v>
      </c>
      <c r="CD3" s="287">
        <f t="shared" ref="CD3:CE3" si="0">+CA3/$CC$1*$CD$1</f>
        <v>0</v>
      </c>
      <c r="CE3" s="287">
        <f t="shared" si="0"/>
        <v>0</v>
      </c>
      <c r="CG3" s="286" t="s">
        <v>414</v>
      </c>
      <c r="CH3" s="286" t="s">
        <v>436</v>
      </c>
      <c r="CI3" s="286" t="s">
        <v>439</v>
      </c>
      <c r="CJ3" s="286" t="s">
        <v>267</v>
      </c>
      <c r="CK3" s="287">
        <v>7000000</v>
      </c>
      <c r="CL3" s="287">
        <f>+CK3/$CK$1*$CL$1</f>
        <v>7000</v>
      </c>
      <c r="CN3" s="286" t="s">
        <v>414</v>
      </c>
      <c r="CO3" s="286" t="s">
        <v>436</v>
      </c>
      <c r="CP3" s="286" t="s">
        <v>439</v>
      </c>
      <c r="CQ3" s="286" t="s">
        <v>267</v>
      </c>
      <c r="CR3" s="287">
        <v>1189083000</v>
      </c>
      <c r="CS3" s="287">
        <v>0</v>
      </c>
      <c r="CT3" s="287">
        <v>0</v>
      </c>
      <c r="CU3" s="287">
        <f>+CR3/$CV$1*$CW$1</f>
        <v>1189083</v>
      </c>
      <c r="CV3" s="287">
        <f t="shared" ref="CV3:CW3" si="1">+CS3/$CV$1*$CW$1</f>
        <v>0</v>
      </c>
      <c r="CW3" s="287">
        <f t="shared" si="1"/>
        <v>0</v>
      </c>
      <c r="CY3" s="286" t="s">
        <v>414</v>
      </c>
      <c r="CZ3" s="288" t="s">
        <v>436</v>
      </c>
      <c r="DA3" s="286" t="s">
        <v>639</v>
      </c>
      <c r="DB3" s="288" t="s">
        <v>640</v>
      </c>
      <c r="DC3" s="287">
        <v>3330000</v>
      </c>
      <c r="DD3" s="363">
        <f>+DC3/$DD$1*$DE$1</f>
        <v>3330</v>
      </c>
      <c r="DF3" s="286" t="s">
        <v>414</v>
      </c>
      <c r="DG3" s="288" t="s">
        <v>436</v>
      </c>
      <c r="DH3" s="286" t="s">
        <v>439</v>
      </c>
      <c r="DI3" s="288" t="s">
        <v>267</v>
      </c>
      <c r="DJ3" s="287">
        <v>1189083000</v>
      </c>
      <c r="DK3" s="287">
        <v>0</v>
      </c>
      <c r="DL3" s="287">
        <v>0</v>
      </c>
      <c r="DM3" s="371">
        <f>+DJ3/$DN$1*$DO$1</f>
        <v>1189083</v>
      </c>
      <c r="DN3" s="371">
        <f t="shared" ref="DN3:DO3" si="2">+DK3/$DN$1*$DO$1</f>
        <v>0</v>
      </c>
      <c r="DO3" s="371">
        <f t="shared" si="2"/>
        <v>0</v>
      </c>
      <c r="DQ3" s="286" t="s">
        <v>414</v>
      </c>
      <c r="DR3" s="288" t="s">
        <v>436</v>
      </c>
      <c r="DS3" s="286" t="s">
        <v>439</v>
      </c>
      <c r="DT3" s="288" t="s">
        <v>267</v>
      </c>
      <c r="DU3" s="287">
        <v>232561875</v>
      </c>
      <c r="DV3" s="372">
        <f>+DU3/$DV$1*$DW$1</f>
        <v>232561.875</v>
      </c>
      <c r="DX3" s="286" t="s">
        <v>414</v>
      </c>
      <c r="DY3" s="288" t="s">
        <v>436</v>
      </c>
      <c r="DZ3" s="286" t="s">
        <v>439</v>
      </c>
      <c r="EA3" s="288" t="s">
        <v>267</v>
      </c>
      <c r="EB3" s="287">
        <v>1189083000</v>
      </c>
      <c r="EC3" s="287">
        <v>0</v>
      </c>
      <c r="ED3" s="287">
        <v>0</v>
      </c>
      <c r="EE3" s="287">
        <f>+EB3/$EE$1*$EF$1</f>
        <v>1189083</v>
      </c>
      <c r="EF3" s="287">
        <f>+EC3/$EE$1*$EF$1</f>
        <v>0</v>
      </c>
      <c r="EG3" s="287">
        <f>+ED3/$EE$1*$EF$1</f>
        <v>0</v>
      </c>
      <c r="EI3" s="286" t="s">
        <v>414</v>
      </c>
      <c r="EJ3" s="288" t="s">
        <v>436</v>
      </c>
      <c r="EK3" s="286" t="s">
        <v>439</v>
      </c>
      <c r="EL3" s="288" t="s">
        <v>267</v>
      </c>
      <c r="EM3" s="287">
        <v>56212500</v>
      </c>
      <c r="EN3" s="371">
        <f>+EM3/$EN$1*$EO$1</f>
        <v>56212.5</v>
      </c>
      <c r="EQ3" s="286" t="s">
        <v>414</v>
      </c>
      <c r="ER3" s="288" t="s">
        <v>436</v>
      </c>
      <c r="ES3" s="286" t="s">
        <v>439</v>
      </c>
      <c r="ET3" s="286" t="s">
        <v>267</v>
      </c>
      <c r="EU3" s="287">
        <v>1189083000</v>
      </c>
      <c r="EV3" s="287">
        <v>0</v>
      </c>
      <c r="EW3" s="287">
        <v>0</v>
      </c>
      <c r="EX3" s="376">
        <f>+EU3/$EY$1*$EZ$1</f>
        <v>1189083</v>
      </c>
      <c r="EY3" s="376">
        <f t="shared" ref="EY3:EZ3" si="3">+EV3/$EY$1*$EZ$1</f>
        <v>0</v>
      </c>
      <c r="EZ3" s="376">
        <f t="shared" si="3"/>
        <v>0</v>
      </c>
      <c r="FB3" s="297" t="s">
        <v>414</v>
      </c>
      <c r="FC3" s="374" t="s">
        <v>436</v>
      </c>
      <c r="FD3" s="297" t="s">
        <v>439</v>
      </c>
      <c r="FE3" s="374" t="s">
        <v>267</v>
      </c>
      <c r="FF3" s="373">
        <v>0</v>
      </c>
      <c r="FG3" s="373">
        <v>72022500</v>
      </c>
      <c r="FH3" s="373">
        <v>21000000</v>
      </c>
      <c r="FI3" s="373">
        <f t="shared" ref="FI3:FI11" si="4">FH3/$FI$1*$FJ$1</f>
        <v>21000</v>
      </c>
      <c r="FK3" s="297" t="s">
        <v>414</v>
      </c>
      <c r="FL3" s="297" t="s">
        <v>436</v>
      </c>
      <c r="FM3" s="297" t="s">
        <v>439</v>
      </c>
      <c r="FN3" s="297" t="s">
        <v>267</v>
      </c>
      <c r="FO3" s="372">
        <v>1189083000</v>
      </c>
      <c r="FP3" s="372">
        <v>0</v>
      </c>
      <c r="FQ3" s="372">
        <v>0</v>
      </c>
      <c r="FR3" s="372">
        <f>FO3/$FR$1*$FS$1</f>
        <v>1189083</v>
      </c>
      <c r="FS3" s="372">
        <f t="shared" ref="FS3:FT18" si="5">FP3/$FR$1*$FS$1</f>
        <v>0</v>
      </c>
      <c r="FT3" s="372">
        <f t="shared" si="5"/>
        <v>0</v>
      </c>
      <c r="FV3" s="286" t="s">
        <v>414</v>
      </c>
      <c r="FW3" s="286" t="s">
        <v>436</v>
      </c>
      <c r="FX3" s="286" t="s">
        <v>439</v>
      </c>
      <c r="FY3" s="286" t="s">
        <v>267</v>
      </c>
      <c r="FZ3" s="287">
        <v>87761250</v>
      </c>
      <c r="GA3" s="287">
        <f>+FZ3/$FZ$1*$GA$1</f>
        <v>87761.25</v>
      </c>
      <c r="GC3" s="275" t="s">
        <v>414</v>
      </c>
      <c r="GD3" s="275" t="s">
        <v>436</v>
      </c>
      <c r="GE3" s="275" t="s">
        <v>439</v>
      </c>
      <c r="GF3" s="275" t="s">
        <v>267</v>
      </c>
      <c r="GG3" s="372">
        <v>1167152422</v>
      </c>
      <c r="GH3" s="372">
        <v>0</v>
      </c>
      <c r="GI3" s="372">
        <v>0</v>
      </c>
      <c r="GJ3" s="372">
        <f>+GG3/$GJ$1*$GK$1</f>
        <v>1167152.422</v>
      </c>
      <c r="GK3" s="372">
        <f t="shared" ref="GK3:GL3" si="6">+GH3/$GJ$1*$GK$1</f>
        <v>0</v>
      </c>
      <c r="GL3" s="372">
        <f t="shared" si="6"/>
        <v>0</v>
      </c>
      <c r="GN3" s="286" t="s">
        <v>414</v>
      </c>
      <c r="GO3" s="288" t="s">
        <v>436</v>
      </c>
      <c r="GP3" s="286" t="s">
        <v>639</v>
      </c>
      <c r="GQ3" s="286" t="s">
        <v>640</v>
      </c>
      <c r="GR3" s="287">
        <v>17524726</v>
      </c>
      <c r="GS3" s="491">
        <f>+GR3/$GR$1*$GS$1</f>
        <v>17524.725999999999</v>
      </c>
      <c r="GU3" s="275" t="s">
        <v>414</v>
      </c>
      <c r="GV3" s="275" t="s">
        <v>436</v>
      </c>
      <c r="GW3" s="275" t="s">
        <v>439</v>
      </c>
      <c r="GX3" s="275" t="s">
        <v>267</v>
      </c>
      <c r="GY3" s="491">
        <v>1167152422</v>
      </c>
      <c r="GZ3" s="491">
        <v>0</v>
      </c>
      <c r="HA3" s="491">
        <v>0</v>
      </c>
      <c r="HB3" s="305">
        <f>+GY3/$HB$1*$HC$1</f>
        <v>1167152.422</v>
      </c>
      <c r="HC3" s="305">
        <f t="shared" ref="HC3:HD3" si="7">+GZ3/$HB$1*$HC$1</f>
        <v>0</v>
      </c>
      <c r="HD3" s="305">
        <f t="shared" si="7"/>
        <v>0</v>
      </c>
    </row>
    <row r="4" spans="1:212" ht="15" customHeight="1" x14ac:dyDescent="0.2">
      <c r="A4" s="286" t="s">
        <v>414</v>
      </c>
      <c r="B4" s="286" t="s">
        <v>436</v>
      </c>
      <c r="C4" s="286" t="s">
        <v>415</v>
      </c>
      <c r="D4" s="286" t="s">
        <v>416</v>
      </c>
      <c r="E4" s="287">
        <v>300000000</v>
      </c>
      <c r="F4" s="287">
        <v>0</v>
      </c>
      <c r="G4" s="287">
        <v>0</v>
      </c>
      <c r="H4" s="371">
        <f t="shared" ref="H4:H43" si="8">+E4/$H$1*$I$1</f>
        <v>312600</v>
      </c>
      <c r="I4" s="371">
        <f t="shared" ref="I4:I43" si="9">+F4/$H$1*$I$1</f>
        <v>0</v>
      </c>
      <c r="J4" s="371">
        <f t="shared" ref="J4:J43" si="10">+G4/$H$1*$I$1</f>
        <v>0</v>
      </c>
      <c r="L4" s="359" t="s">
        <v>414</v>
      </c>
      <c r="M4" s="360" t="s">
        <v>436</v>
      </c>
      <c r="N4" s="359" t="s">
        <v>439</v>
      </c>
      <c r="O4" s="360" t="s">
        <v>267</v>
      </c>
      <c r="P4" s="361">
        <v>76765991</v>
      </c>
      <c r="Q4" s="361">
        <f t="shared" ref="Q4:Q10" si="11">+P4/$P$1*$Q$1</f>
        <v>79990.162622000003</v>
      </c>
      <c r="S4" s="286" t="s">
        <v>414</v>
      </c>
      <c r="T4" s="288" t="s">
        <v>436</v>
      </c>
      <c r="U4" s="286" t="s">
        <v>415</v>
      </c>
      <c r="V4" s="288" t="s">
        <v>416</v>
      </c>
      <c r="W4" s="287">
        <v>300000000</v>
      </c>
      <c r="X4" s="287">
        <v>0</v>
      </c>
      <c r="Y4" s="287">
        <v>0</v>
      </c>
      <c r="Z4" s="361">
        <f t="shared" ref="Z4:Z47" si="12">+W4/$AA$1*$AB$1</f>
        <v>312600</v>
      </c>
      <c r="AA4" s="361">
        <f t="shared" ref="AA4:AA47" si="13">+X4/$AA$1*$AB$1</f>
        <v>0</v>
      </c>
      <c r="AB4" s="361">
        <f t="shared" ref="AB4:AB47" si="14">+Y4/$AA$1*$AB$1</f>
        <v>0</v>
      </c>
      <c r="AD4" s="286" t="s">
        <v>414</v>
      </c>
      <c r="AE4" s="286" t="s">
        <v>436</v>
      </c>
      <c r="AF4" s="286" t="s">
        <v>439</v>
      </c>
      <c r="AG4" s="288" t="s">
        <v>267</v>
      </c>
      <c r="AH4" s="287">
        <v>137808384</v>
      </c>
      <c r="AI4" s="287">
        <f t="shared" ref="AI4:AI10" si="15">+AH4/$AH$1*$AI$1</f>
        <v>137808.38399999999</v>
      </c>
      <c r="AK4" s="286" t="s">
        <v>414</v>
      </c>
      <c r="AL4" s="286" t="s">
        <v>436</v>
      </c>
      <c r="AM4" s="286" t="s">
        <v>415</v>
      </c>
      <c r="AN4" s="286" t="s">
        <v>416</v>
      </c>
      <c r="AO4" s="287">
        <v>300000000</v>
      </c>
      <c r="AP4" s="287">
        <v>0</v>
      </c>
      <c r="AQ4" s="287">
        <v>0</v>
      </c>
      <c r="AR4" s="287">
        <f t="shared" ref="AR4:AR48" si="16">+AO4/$AS$1*$AT$1</f>
        <v>300000</v>
      </c>
      <c r="AS4" s="287">
        <f t="shared" ref="AS4:AS48" si="17">+AP4/$AS$1*$AT$1</f>
        <v>0</v>
      </c>
      <c r="AT4" s="287">
        <f t="shared" ref="AT4:AT48" si="18">+AQ4/$AS$1*$AT$1</f>
        <v>0</v>
      </c>
      <c r="AV4" s="286" t="s">
        <v>414</v>
      </c>
      <c r="AW4" s="286" t="s">
        <v>436</v>
      </c>
      <c r="AX4" s="286" t="s">
        <v>439</v>
      </c>
      <c r="AY4" s="286" t="s">
        <v>267</v>
      </c>
      <c r="AZ4" s="287">
        <v>53240000</v>
      </c>
      <c r="BA4" s="372">
        <f t="shared" ref="BA4:BA12" si="19">+AZ4/$AZ$1*$BA$1</f>
        <v>53240</v>
      </c>
      <c r="BC4" s="286" t="s">
        <v>414</v>
      </c>
      <c r="BD4" s="286" t="s">
        <v>436</v>
      </c>
      <c r="BE4" s="286" t="s">
        <v>415</v>
      </c>
      <c r="BF4" s="286" t="s">
        <v>416</v>
      </c>
      <c r="BG4" s="287">
        <v>240000000</v>
      </c>
      <c r="BH4" s="287">
        <v>0</v>
      </c>
      <c r="BI4" s="287">
        <v>0</v>
      </c>
      <c r="BJ4" s="372">
        <f t="shared" ref="BJ4:BJ48" si="20">+BG4/$BJ$1*$BK$1</f>
        <v>240000</v>
      </c>
      <c r="BK4" s="372">
        <f t="shared" ref="BK4:BK48" si="21">+BH4/$BJ$1*$BK$1</f>
        <v>0</v>
      </c>
      <c r="BL4" s="372">
        <f t="shared" ref="BL4:BL48" si="22">+BI4/$BJ$1*$BK$1</f>
        <v>0</v>
      </c>
      <c r="BN4" s="286" t="s">
        <v>414</v>
      </c>
      <c r="BO4" s="286" t="s">
        <v>436</v>
      </c>
      <c r="BP4" s="286" t="s">
        <v>439</v>
      </c>
      <c r="BQ4" s="286" t="s">
        <v>267</v>
      </c>
      <c r="BR4" s="287">
        <v>6000000</v>
      </c>
      <c r="BS4" s="287">
        <f t="shared" ref="BS4:BS13" si="23">+BR4/$BS$1*$BT$1</f>
        <v>6000</v>
      </c>
      <c r="BV4" s="286" t="s">
        <v>414</v>
      </c>
      <c r="BW4" s="286" t="s">
        <v>436</v>
      </c>
      <c r="BX4" s="286" t="s">
        <v>415</v>
      </c>
      <c r="BY4" s="286" t="s">
        <v>416</v>
      </c>
      <c r="BZ4" s="287">
        <v>240000000</v>
      </c>
      <c r="CA4" s="287">
        <v>0</v>
      </c>
      <c r="CB4" s="287">
        <v>0</v>
      </c>
      <c r="CC4" s="287">
        <f t="shared" ref="CC4:CC51" si="24">+BZ4/$CC$1*$CD$1</f>
        <v>240000</v>
      </c>
      <c r="CD4" s="287">
        <f t="shared" ref="CD4:CD51" si="25">+CA4/$CC$1*$CD$1</f>
        <v>0</v>
      </c>
      <c r="CE4" s="287">
        <f t="shared" ref="CE4:CE51" si="26">+CB4/$CC$1*$CD$1</f>
        <v>0</v>
      </c>
      <c r="CG4" s="286" t="s">
        <v>414</v>
      </c>
      <c r="CH4" s="286" t="s">
        <v>436</v>
      </c>
      <c r="CI4" s="286" t="s">
        <v>639</v>
      </c>
      <c r="CJ4" s="286" t="s">
        <v>640</v>
      </c>
      <c r="CK4" s="287">
        <v>3330000</v>
      </c>
      <c r="CL4" s="287">
        <f t="shared" ref="CL4:CL12" si="27">+CK4/$CK$1*$CL$1</f>
        <v>3330</v>
      </c>
      <c r="CN4" s="286" t="s">
        <v>414</v>
      </c>
      <c r="CO4" s="286" t="s">
        <v>436</v>
      </c>
      <c r="CP4" s="286" t="s">
        <v>415</v>
      </c>
      <c r="CQ4" s="286" t="s">
        <v>416</v>
      </c>
      <c r="CR4" s="287">
        <v>240000000</v>
      </c>
      <c r="CS4" s="287">
        <v>0</v>
      </c>
      <c r="CT4" s="287">
        <v>0</v>
      </c>
      <c r="CU4" s="287">
        <f t="shared" ref="CU4:CU52" si="28">+CR4/$CV$1*$CW$1</f>
        <v>240000</v>
      </c>
      <c r="CV4" s="287">
        <f t="shared" ref="CV4:CV52" si="29">+CS4/$CV$1*$CW$1</f>
        <v>0</v>
      </c>
      <c r="CW4" s="287">
        <f t="shared" ref="CW4:CW52" si="30">+CT4/$CV$1*$CW$1</f>
        <v>0</v>
      </c>
      <c r="CY4" s="286" t="s">
        <v>414</v>
      </c>
      <c r="CZ4" s="288" t="s">
        <v>436</v>
      </c>
      <c r="DA4" s="286" t="s">
        <v>439</v>
      </c>
      <c r="DB4" s="288" t="s">
        <v>267</v>
      </c>
      <c r="DC4" s="287">
        <v>65275000</v>
      </c>
      <c r="DD4" s="363">
        <f t="shared" ref="DD4:DD11" si="31">+DC4/$DD$1*$DE$1</f>
        <v>65275</v>
      </c>
      <c r="DF4" s="286" t="s">
        <v>414</v>
      </c>
      <c r="DG4" s="288" t="s">
        <v>436</v>
      </c>
      <c r="DH4" s="286" t="s">
        <v>415</v>
      </c>
      <c r="DI4" s="288" t="s">
        <v>416</v>
      </c>
      <c r="DJ4" s="287">
        <v>240000000</v>
      </c>
      <c r="DK4" s="287">
        <v>0</v>
      </c>
      <c r="DL4" s="287">
        <v>0</v>
      </c>
      <c r="DM4" s="371">
        <f t="shared" ref="DM4:DM52" si="32">+DJ4/$DN$1*$DO$1</f>
        <v>240000</v>
      </c>
      <c r="DN4" s="371">
        <f t="shared" ref="DN4:DN52" si="33">+DK4/$DN$1*$DO$1</f>
        <v>0</v>
      </c>
      <c r="DO4" s="371">
        <f t="shared" ref="DO4:DO52" si="34">+DL4/$DN$1*$DO$1</f>
        <v>0</v>
      </c>
      <c r="DQ4" s="286" t="s">
        <v>414</v>
      </c>
      <c r="DR4" s="288" t="s">
        <v>436</v>
      </c>
      <c r="DS4" s="286" t="s">
        <v>639</v>
      </c>
      <c r="DT4" s="288" t="s">
        <v>640</v>
      </c>
      <c r="DU4" s="287">
        <v>5489456</v>
      </c>
      <c r="DV4" s="372">
        <f t="shared" ref="DV4:DV11" si="35">+DU4/$DV$1*$DW$1</f>
        <v>5489.4560000000001</v>
      </c>
      <c r="DX4" s="286" t="s">
        <v>414</v>
      </c>
      <c r="DY4" s="288" t="s">
        <v>436</v>
      </c>
      <c r="DZ4" s="286" t="s">
        <v>415</v>
      </c>
      <c r="EA4" s="288" t="s">
        <v>416</v>
      </c>
      <c r="EB4" s="287">
        <v>240000000</v>
      </c>
      <c r="EC4" s="287">
        <v>0</v>
      </c>
      <c r="ED4" s="287">
        <v>0</v>
      </c>
      <c r="EE4" s="287">
        <f t="shared" ref="EE4:EE53" si="36">+EB4/$EE$1*$EF$1</f>
        <v>240000</v>
      </c>
      <c r="EF4" s="287">
        <f t="shared" ref="EF4:EF53" si="37">+EC4/$EE$1*$EF$1</f>
        <v>0</v>
      </c>
      <c r="EG4" s="287">
        <f t="shared" ref="EG4:EG53" si="38">+ED4/$EE$1*$EF$1</f>
        <v>0</v>
      </c>
      <c r="EI4" s="286" t="s">
        <v>414</v>
      </c>
      <c r="EJ4" s="288" t="s">
        <v>436</v>
      </c>
      <c r="EK4" s="286" t="s">
        <v>639</v>
      </c>
      <c r="EL4" s="288" t="s">
        <v>640</v>
      </c>
      <c r="EM4" s="287">
        <v>3330000</v>
      </c>
      <c r="EN4" s="371">
        <f t="shared" ref="EN4:EN12" si="39">+EM4/$EN$1*$EO$1</f>
        <v>3330</v>
      </c>
      <c r="EQ4" s="286" t="s">
        <v>414</v>
      </c>
      <c r="ER4" s="288" t="s">
        <v>436</v>
      </c>
      <c r="ES4" s="286" t="s">
        <v>415</v>
      </c>
      <c r="ET4" s="286" t="s">
        <v>416</v>
      </c>
      <c r="EU4" s="287">
        <v>240000000</v>
      </c>
      <c r="EV4" s="287">
        <v>0</v>
      </c>
      <c r="EW4" s="287">
        <v>0</v>
      </c>
      <c r="EX4" s="376">
        <f t="shared" ref="EX4:EX54" si="40">+EU4/$EY$1*$EZ$1</f>
        <v>240000</v>
      </c>
      <c r="EY4" s="376">
        <f t="shared" ref="EY4:EY54" si="41">+EV4/$EY$1*$EZ$1</f>
        <v>0</v>
      </c>
      <c r="EZ4" s="376">
        <f t="shared" ref="EZ4:EZ54" si="42">+EW4/$EY$1*$EZ$1</f>
        <v>0</v>
      </c>
      <c r="FB4" s="297" t="s">
        <v>414</v>
      </c>
      <c r="FC4" s="374" t="s">
        <v>436</v>
      </c>
      <c r="FD4" s="297" t="s">
        <v>639</v>
      </c>
      <c r="FE4" s="374" t="s">
        <v>640</v>
      </c>
      <c r="FF4" s="373">
        <v>0</v>
      </c>
      <c r="FG4" s="373">
        <v>5364223</v>
      </c>
      <c r="FH4" s="373">
        <v>5364223</v>
      </c>
      <c r="FI4" s="373">
        <f t="shared" si="4"/>
        <v>5364.223</v>
      </c>
      <c r="FK4" s="297" t="s">
        <v>414</v>
      </c>
      <c r="FL4" s="297" t="s">
        <v>436</v>
      </c>
      <c r="FM4" s="297" t="s">
        <v>415</v>
      </c>
      <c r="FN4" s="297" t="s">
        <v>416</v>
      </c>
      <c r="FO4" s="372">
        <v>240000000</v>
      </c>
      <c r="FP4" s="372">
        <v>0</v>
      </c>
      <c r="FQ4" s="372">
        <v>0</v>
      </c>
      <c r="FR4" s="372">
        <f t="shared" ref="FR4:FR53" si="43">FO4/$FR$1*$FS$1</f>
        <v>240000</v>
      </c>
      <c r="FS4" s="372">
        <f t="shared" si="5"/>
        <v>0</v>
      </c>
      <c r="FT4" s="372">
        <f t="shared" si="5"/>
        <v>0</v>
      </c>
      <c r="FV4" s="286" t="s">
        <v>417</v>
      </c>
      <c r="FW4" s="286" t="s">
        <v>299</v>
      </c>
      <c r="FX4" s="286" t="s">
        <v>441</v>
      </c>
      <c r="FY4" s="286" t="s">
        <v>322</v>
      </c>
      <c r="FZ4" s="287">
        <v>738729</v>
      </c>
      <c r="GA4" s="287">
        <f t="shared" ref="GA4:GA13" si="44">+FZ4/$FZ$1*$GA$1</f>
        <v>738.72900000000004</v>
      </c>
      <c r="GC4" s="275" t="s">
        <v>414</v>
      </c>
      <c r="GD4" s="275" t="s">
        <v>436</v>
      </c>
      <c r="GE4" s="275" t="s">
        <v>415</v>
      </c>
      <c r="GF4" s="275" t="s">
        <v>416</v>
      </c>
      <c r="GG4" s="372">
        <v>234751472</v>
      </c>
      <c r="GH4" s="372">
        <v>0</v>
      </c>
      <c r="GI4" s="372">
        <v>0</v>
      </c>
      <c r="GJ4" s="372">
        <f t="shared" ref="GJ4:GJ55" si="45">+GG4/$GJ$1*$GK$1</f>
        <v>234751.47200000001</v>
      </c>
      <c r="GK4" s="372">
        <f t="shared" ref="GK4:GK55" si="46">+GH4/$GJ$1*$GK$1</f>
        <v>0</v>
      </c>
      <c r="GL4" s="372">
        <f t="shared" ref="GL4:GL55" si="47">+GI4/$GJ$1*$GK$1</f>
        <v>0</v>
      </c>
      <c r="GN4" s="286" t="s">
        <v>414</v>
      </c>
      <c r="GO4" s="288" t="s">
        <v>436</v>
      </c>
      <c r="GP4" s="286" t="s">
        <v>415</v>
      </c>
      <c r="GQ4" s="286" t="s">
        <v>416</v>
      </c>
      <c r="GR4" s="287">
        <v>234751472</v>
      </c>
      <c r="GS4" s="491">
        <f t="shared" ref="GS4:GS21" si="48">+GR4/$GR$1*$GS$1</f>
        <v>234751.47200000001</v>
      </c>
      <c r="GU4" s="275" t="s">
        <v>414</v>
      </c>
      <c r="GV4" s="275" t="s">
        <v>436</v>
      </c>
      <c r="GW4" s="275" t="s">
        <v>415</v>
      </c>
      <c r="GX4" s="275" t="s">
        <v>416</v>
      </c>
      <c r="GY4" s="491">
        <v>234751472</v>
      </c>
      <c r="GZ4" s="491">
        <v>0</v>
      </c>
      <c r="HA4" s="491">
        <v>0</v>
      </c>
      <c r="HB4" s="305">
        <f t="shared" ref="HB4:HB58" si="49">+GY4/$HB$1*$HC$1</f>
        <v>234751.47200000001</v>
      </c>
      <c r="HC4" s="305">
        <f t="shared" ref="HC4:HC58" si="50">+GZ4/$HB$1*$HC$1</f>
        <v>0</v>
      </c>
      <c r="HD4" s="305">
        <f t="shared" ref="HD4:HD58" si="51">+HA4/$HB$1*$HC$1</f>
        <v>0</v>
      </c>
    </row>
    <row r="5" spans="1:212" ht="15" customHeight="1" x14ac:dyDescent="0.2">
      <c r="A5" s="286" t="s">
        <v>414</v>
      </c>
      <c r="B5" s="286" t="s">
        <v>436</v>
      </c>
      <c r="C5" s="286" t="s">
        <v>639</v>
      </c>
      <c r="D5" s="286" t="s">
        <v>640</v>
      </c>
      <c r="E5" s="287">
        <v>68917000</v>
      </c>
      <c r="F5" s="287">
        <v>0</v>
      </c>
      <c r="G5" s="287">
        <v>0</v>
      </c>
      <c r="H5" s="371">
        <f t="shared" si="8"/>
        <v>71811.513999999996</v>
      </c>
      <c r="I5" s="371">
        <f t="shared" si="9"/>
        <v>0</v>
      </c>
      <c r="J5" s="371">
        <f t="shared" si="10"/>
        <v>0</v>
      </c>
      <c r="L5" s="359" t="s">
        <v>417</v>
      </c>
      <c r="M5" s="360" t="s">
        <v>299</v>
      </c>
      <c r="N5" s="359" t="s">
        <v>441</v>
      </c>
      <c r="O5" s="360" t="s">
        <v>322</v>
      </c>
      <c r="P5" s="361">
        <v>995769</v>
      </c>
      <c r="Q5" s="361">
        <f t="shared" si="11"/>
        <v>1037.5912980000001</v>
      </c>
      <c r="S5" s="286" t="s">
        <v>414</v>
      </c>
      <c r="T5" s="288" t="s">
        <v>436</v>
      </c>
      <c r="U5" s="286" t="s">
        <v>639</v>
      </c>
      <c r="V5" s="288" t="s">
        <v>640</v>
      </c>
      <c r="W5" s="287">
        <v>68917000</v>
      </c>
      <c r="X5" s="287">
        <v>0</v>
      </c>
      <c r="Y5" s="287">
        <v>0</v>
      </c>
      <c r="Z5" s="361">
        <f t="shared" si="12"/>
        <v>71811.513999999996</v>
      </c>
      <c r="AA5" s="361">
        <f t="shared" si="13"/>
        <v>0</v>
      </c>
      <c r="AB5" s="361">
        <f t="shared" si="14"/>
        <v>0</v>
      </c>
      <c r="AD5" s="286" t="s">
        <v>417</v>
      </c>
      <c r="AE5" s="286" t="s">
        <v>299</v>
      </c>
      <c r="AF5" s="286" t="s">
        <v>420</v>
      </c>
      <c r="AG5" s="288" t="s">
        <v>320</v>
      </c>
      <c r="AH5" s="287">
        <v>2159010</v>
      </c>
      <c r="AI5" s="287">
        <f t="shared" si="15"/>
        <v>2159.0100000000002</v>
      </c>
      <c r="AK5" s="286" t="s">
        <v>414</v>
      </c>
      <c r="AL5" s="286" t="s">
        <v>436</v>
      </c>
      <c r="AM5" s="286" t="s">
        <v>639</v>
      </c>
      <c r="AN5" s="286" t="s">
        <v>640</v>
      </c>
      <c r="AO5" s="287">
        <v>68917000</v>
      </c>
      <c r="AP5" s="287">
        <v>0</v>
      </c>
      <c r="AQ5" s="287">
        <v>0</v>
      </c>
      <c r="AR5" s="287">
        <f t="shared" si="16"/>
        <v>68917</v>
      </c>
      <c r="AS5" s="287">
        <f t="shared" si="17"/>
        <v>0</v>
      </c>
      <c r="AT5" s="287">
        <f t="shared" si="18"/>
        <v>0</v>
      </c>
      <c r="AV5" s="286" t="s">
        <v>417</v>
      </c>
      <c r="AW5" s="286" t="s">
        <v>299</v>
      </c>
      <c r="AX5" s="286" t="s">
        <v>418</v>
      </c>
      <c r="AY5" s="286" t="s">
        <v>319</v>
      </c>
      <c r="AZ5" s="287">
        <v>110367165</v>
      </c>
      <c r="BA5" s="372">
        <f t="shared" si="19"/>
        <v>110367.16499999999</v>
      </c>
      <c r="BC5" s="286" t="s">
        <v>414</v>
      </c>
      <c r="BD5" s="286" t="s">
        <v>436</v>
      </c>
      <c r="BE5" s="286" t="s">
        <v>639</v>
      </c>
      <c r="BF5" s="286" t="s">
        <v>640</v>
      </c>
      <c r="BG5" s="287">
        <v>68917000</v>
      </c>
      <c r="BH5" s="287">
        <v>0</v>
      </c>
      <c r="BI5" s="287">
        <v>0</v>
      </c>
      <c r="BJ5" s="372">
        <f t="shared" si="20"/>
        <v>68917</v>
      </c>
      <c r="BK5" s="372">
        <f t="shared" si="21"/>
        <v>0</v>
      </c>
      <c r="BL5" s="372">
        <f t="shared" si="22"/>
        <v>0</v>
      </c>
      <c r="BN5" s="286" t="s">
        <v>417</v>
      </c>
      <c r="BO5" s="286" t="s">
        <v>299</v>
      </c>
      <c r="BP5" s="286" t="s">
        <v>420</v>
      </c>
      <c r="BQ5" s="286" t="s">
        <v>320</v>
      </c>
      <c r="BR5" s="287">
        <v>2159010</v>
      </c>
      <c r="BS5" s="287">
        <f t="shared" si="23"/>
        <v>2159.0100000000002</v>
      </c>
      <c r="BV5" s="286" t="s">
        <v>414</v>
      </c>
      <c r="BW5" s="286" t="s">
        <v>436</v>
      </c>
      <c r="BX5" s="286" t="s">
        <v>639</v>
      </c>
      <c r="BY5" s="286" t="s">
        <v>640</v>
      </c>
      <c r="BZ5" s="287">
        <v>68917000</v>
      </c>
      <c r="CA5" s="287">
        <v>0</v>
      </c>
      <c r="CB5" s="287">
        <v>0</v>
      </c>
      <c r="CC5" s="287">
        <f t="shared" si="24"/>
        <v>68917</v>
      </c>
      <c r="CD5" s="287">
        <f t="shared" si="25"/>
        <v>0</v>
      </c>
      <c r="CE5" s="287">
        <f t="shared" si="26"/>
        <v>0</v>
      </c>
      <c r="CG5" s="286" t="s">
        <v>417</v>
      </c>
      <c r="CH5" s="286" t="s">
        <v>299</v>
      </c>
      <c r="CI5" s="286" t="s">
        <v>420</v>
      </c>
      <c r="CJ5" s="286" t="s">
        <v>320</v>
      </c>
      <c r="CK5" s="287">
        <v>2159010</v>
      </c>
      <c r="CL5" s="287">
        <f t="shared" si="27"/>
        <v>2159.0100000000002</v>
      </c>
      <c r="CN5" s="286" t="s">
        <v>414</v>
      </c>
      <c r="CO5" s="286" t="s">
        <v>436</v>
      </c>
      <c r="CP5" s="286" t="s">
        <v>639</v>
      </c>
      <c r="CQ5" s="286" t="s">
        <v>640</v>
      </c>
      <c r="CR5" s="287">
        <v>68917000</v>
      </c>
      <c r="CS5" s="287">
        <v>0</v>
      </c>
      <c r="CT5" s="287">
        <v>0</v>
      </c>
      <c r="CU5" s="287">
        <f t="shared" si="28"/>
        <v>68917</v>
      </c>
      <c r="CV5" s="287">
        <f t="shared" si="29"/>
        <v>0</v>
      </c>
      <c r="CW5" s="287">
        <f t="shared" si="30"/>
        <v>0</v>
      </c>
      <c r="CY5" s="286" t="s">
        <v>417</v>
      </c>
      <c r="CZ5" s="288" t="s">
        <v>299</v>
      </c>
      <c r="DA5" s="286" t="s">
        <v>420</v>
      </c>
      <c r="DB5" s="288" t="s">
        <v>320</v>
      </c>
      <c r="DC5" s="287">
        <v>2159010</v>
      </c>
      <c r="DD5" s="363">
        <f t="shared" si="31"/>
        <v>2159.0100000000002</v>
      </c>
      <c r="DF5" s="286" t="s">
        <v>414</v>
      </c>
      <c r="DG5" s="288" t="s">
        <v>436</v>
      </c>
      <c r="DH5" s="286" t="s">
        <v>639</v>
      </c>
      <c r="DI5" s="288" t="s">
        <v>640</v>
      </c>
      <c r="DJ5" s="287">
        <v>68917000</v>
      </c>
      <c r="DK5" s="287">
        <v>0</v>
      </c>
      <c r="DL5" s="287">
        <v>0</v>
      </c>
      <c r="DM5" s="371">
        <f t="shared" si="32"/>
        <v>68917</v>
      </c>
      <c r="DN5" s="371">
        <f t="shared" si="33"/>
        <v>0</v>
      </c>
      <c r="DO5" s="371">
        <f t="shared" si="34"/>
        <v>0</v>
      </c>
      <c r="DQ5" s="286" t="s">
        <v>417</v>
      </c>
      <c r="DR5" s="288" t="s">
        <v>299</v>
      </c>
      <c r="DS5" s="286" t="s">
        <v>420</v>
      </c>
      <c r="DT5" s="288" t="s">
        <v>320</v>
      </c>
      <c r="DU5" s="287">
        <v>2159010</v>
      </c>
      <c r="DV5" s="372">
        <f t="shared" si="35"/>
        <v>2159.0100000000002</v>
      </c>
      <c r="DX5" s="286" t="s">
        <v>414</v>
      </c>
      <c r="DY5" s="288" t="s">
        <v>436</v>
      </c>
      <c r="DZ5" s="286" t="s">
        <v>639</v>
      </c>
      <c r="EA5" s="288" t="s">
        <v>640</v>
      </c>
      <c r="EB5" s="287">
        <v>68917000</v>
      </c>
      <c r="EC5" s="287">
        <v>0</v>
      </c>
      <c r="ED5" s="287">
        <v>0</v>
      </c>
      <c r="EE5" s="287">
        <f t="shared" si="36"/>
        <v>68917</v>
      </c>
      <c r="EF5" s="287">
        <f t="shared" si="37"/>
        <v>0</v>
      </c>
      <c r="EG5" s="287">
        <f t="shared" si="38"/>
        <v>0</v>
      </c>
      <c r="EI5" s="286" t="s">
        <v>417</v>
      </c>
      <c r="EJ5" s="288" t="s">
        <v>299</v>
      </c>
      <c r="EK5" s="286" t="s">
        <v>420</v>
      </c>
      <c r="EL5" s="288" t="s">
        <v>320</v>
      </c>
      <c r="EM5" s="287">
        <v>2159010</v>
      </c>
      <c r="EN5" s="371">
        <f t="shared" si="39"/>
        <v>2159.0100000000002</v>
      </c>
      <c r="EQ5" s="286" t="s">
        <v>414</v>
      </c>
      <c r="ER5" s="288" t="s">
        <v>436</v>
      </c>
      <c r="ES5" s="286" t="s">
        <v>639</v>
      </c>
      <c r="ET5" s="286" t="s">
        <v>640</v>
      </c>
      <c r="EU5" s="287">
        <v>68917000</v>
      </c>
      <c r="EV5" s="287">
        <v>0</v>
      </c>
      <c r="EW5" s="287">
        <v>0</v>
      </c>
      <c r="EX5" s="376">
        <f t="shared" si="40"/>
        <v>68917</v>
      </c>
      <c r="EY5" s="376">
        <f t="shared" si="41"/>
        <v>0</v>
      </c>
      <c r="EZ5" s="376">
        <f t="shared" si="42"/>
        <v>0</v>
      </c>
      <c r="FB5" s="297" t="s">
        <v>417</v>
      </c>
      <c r="FC5" s="374" t="s">
        <v>299</v>
      </c>
      <c r="FD5" s="297" t="s">
        <v>420</v>
      </c>
      <c r="FE5" s="374" t="s">
        <v>320</v>
      </c>
      <c r="FF5" s="373">
        <v>0</v>
      </c>
      <c r="FG5" s="373">
        <v>0</v>
      </c>
      <c r="FH5" s="373">
        <v>2159010</v>
      </c>
      <c r="FI5" s="373">
        <f t="shared" si="4"/>
        <v>2159.0100000000002</v>
      </c>
      <c r="FK5" s="297" t="s">
        <v>414</v>
      </c>
      <c r="FL5" s="297" t="s">
        <v>436</v>
      </c>
      <c r="FM5" s="297" t="s">
        <v>639</v>
      </c>
      <c r="FN5" s="297" t="s">
        <v>640</v>
      </c>
      <c r="FO5" s="372">
        <v>68917000</v>
      </c>
      <c r="FP5" s="372">
        <v>0</v>
      </c>
      <c r="FQ5" s="372">
        <v>0</v>
      </c>
      <c r="FR5" s="372">
        <f t="shared" si="43"/>
        <v>68917</v>
      </c>
      <c r="FS5" s="372">
        <f t="shared" si="5"/>
        <v>0</v>
      </c>
      <c r="FT5" s="372">
        <f t="shared" si="5"/>
        <v>0</v>
      </c>
      <c r="FV5" s="286" t="s">
        <v>417</v>
      </c>
      <c r="FW5" s="286" t="s">
        <v>299</v>
      </c>
      <c r="FX5" s="286" t="s">
        <v>419</v>
      </c>
      <c r="FY5" s="286" t="s">
        <v>330</v>
      </c>
      <c r="FZ5" s="287">
        <v>44168220</v>
      </c>
      <c r="GA5" s="287">
        <f t="shared" si="44"/>
        <v>44168.22</v>
      </c>
      <c r="GC5" s="275" t="s">
        <v>414</v>
      </c>
      <c r="GD5" s="275" t="s">
        <v>436</v>
      </c>
      <c r="GE5" s="275" t="s">
        <v>639</v>
      </c>
      <c r="GF5" s="275" t="s">
        <v>640</v>
      </c>
      <c r="GG5" s="372">
        <v>60096106</v>
      </c>
      <c r="GH5" s="372">
        <v>0</v>
      </c>
      <c r="GI5" s="372">
        <v>0</v>
      </c>
      <c r="GJ5" s="372">
        <f t="shared" si="45"/>
        <v>60096.106</v>
      </c>
      <c r="GK5" s="372">
        <f t="shared" si="46"/>
        <v>0</v>
      </c>
      <c r="GL5" s="372">
        <f t="shared" si="47"/>
        <v>0</v>
      </c>
      <c r="GN5" s="286" t="s">
        <v>414</v>
      </c>
      <c r="GO5" s="288" t="s">
        <v>436</v>
      </c>
      <c r="GP5" s="286" t="s">
        <v>437</v>
      </c>
      <c r="GQ5" s="286" t="s">
        <v>438</v>
      </c>
      <c r="GR5" s="287">
        <v>45000000</v>
      </c>
      <c r="GS5" s="491">
        <f t="shared" si="48"/>
        <v>45000</v>
      </c>
      <c r="GU5" s="275" t="s">
        <v>414</v>
      </c>
      <c r="GV5" s="275" t="s">
        <v>436</v>
      </c>
      <c r="GW5" s="275" t="s">
        <v>639</v>
      </c>
      <c r="GX5" s="275" t="s">
        <v>640</v>
      </c>
      <c r="GY5" s="491">
        <v>60096106</v>
      </c>
      <c r="GZ5" s="491">
        <v>0</v>
      </c>
      <c r="HA5" s="491">
        <v>0</v>
      </c>
      <c r="HB5" s="305">
        <f t="shared" si="49"/>
        <v>60096.106</v>
      </c>
      <c r="HC5" s="305">
        <f t="shared" si="50"/>
        <v>0</v>
      </c>
      <c r="HD5" s="305">
        <f t="shared" si="51"/>
        <v>0</v>
      </c>
    </row>
    <row r="6" spans="1:212" ht="15" customHeight="1" x14ac:dyDescent="0.2">
      <c r="A6" s="286" t="s">
        <v>414</v>
      </c>
      <c r="B6" s="286" t="s">
        <v>436</v>
      </c>
      <c r="C6" s="286" t="s">
        <v>437</v>
      </c>
      <c r="D6" s="286" t="s">
        <v>438</v>
      </c>
      <c r="E6" s="287">
        <v>50000000</v>
      </c>
      <c r="F6" s="287">
        <v>0</v>
      </c>
      <c r="G6" s="287">
        <v>0</v>
      </c>
      <c r="H6" s="371">
        <f t="shared" si="8"/>
        <v>52100</v>
      </c>
      <c r="I6" s="371">
        <f t="shared" si="9"/>
        <v>0</v>
      </c>
      <c r="J6" s="371">
        <f t="shared" si="10"/>
        <v>0</v>
      </c>
      <c r="L6" s="359" t="s">
        <v>417</v>
      </c>
      <c r="M6" s="360" t="s">
        <v>299</v>
      </c>
      <c r="N6" s="359" t="s">
        <v>420</v>
      </c>
      <c r="O6" s="360" t="s">
        <v>320</v>
      </c>
      <c r="P6" s="361">
        <v>2159010</v>
      </c>
      <c r="Q6" s="361">
        <f t="shared" si="11"/>
        <v>2249.6884200000004</v>
      </c>
      <c r="S6" s="286" t="s">
        <v>414</v>
      </c>
      <c r="T6" s="288" t="s">
        <v>436</v>
      </c>
      <c r="U6" s="286" t="s">
        <v>437</v>
      </c>
      <c r="V6" s="288" t="s">
        <v>438</v>
      </c>
      <c r="W6" s="287">
        <v>50000000</v>
      </c>
      <c r="X6" s="287">
        <v>0</v>
      </c>
      <c r="Y6" s="287">
        <v>0</v>
      </c>
      <c r="Z6" s="361">
        <f t="shared" si="12"/>
        <v>52100</v>
      </c>
      <c r="AA6" s="361">
        <f t="shared" si="13"/>
        <v>0</v>
      </c>
      <c r="AB6" s="361">
        <f t="shared" si="14"/>
        <v>0</v>
      </c>
      <c r="AD6" s="286" t="s">
        <v>417</v>
      </c>
      <c r="AE6" s="286" t="s">
        <v>299</v>
      </c>
      <c r="AF6" s="286" t="s">
        <v>418</v>
      </c>
      <c r="AG6" s="288" t="s">
        <v>319</v>
      </c>
      <c r="AH6" s="287">
        <v>189651376</v>
      </c>
      <c r="AI6" s="287">
        <f t="shared" si="15"/>
        <v>189651.37599999999</v>
      </c>
      <c r="AK6" s="286" t="s">
        <v>414</v>
      </c>
      <c r="AL6" s="286" t="s">
        <v>436</v>
      </c>
      <c r="AM6" s="286" t="s">
        <v>437</v>
      </c>
      <c r="AN6" s="286" t="s">
        <v>438</v>
      </c>
      <c r="AO6" s="287">
        <v>50000000</v>
      </c>
      <c r="AP6" s="287">
        <v>0</v>
      </c>
      <c r="AQ6" s="287">
        <v>0</v>
      </c>
      <c r="AR6" s="287">
        <f t="shared" si="16"/>
        <v>50000</v>
      </c>
      <c r="AS6" s="287">
        <f t="shared" si="17"/>
        <v>0</v>
      </c>
      <c r="AT6" s="287">
        <f t="shared" si="18"/>
        <v>0</v>
      </c>
      <c r="AV6" s="286" t="s">
        <v>417</v>
      </c>
      <c r="AW6" s="286" t="s">
        <v>299</v>
      </c>
      <c r="AX6" s="286" t="s">
        <v>419</v>
      </c>
      <c r="AY6" s="286" t="s">
        <v>330</v>
      </c>
      <c r="AZ6" s="287">
        <v>38562655</v>
      </c>
      <c r="BA6" s="372">
        <f t="shared" si="19"/>
        <v>38562.654999999999</v>
      </c>
      <c r="BC6" s="286" t="s">
        <v>414</v>
      </c>
      <c r="BD6" s="286" t="s">
        <v>436</v>
      </c>
      <c r="BE6" s="286" t="s">
        <v>437</v>
      </c>
      <c r="BF6" s="286" t="s">
        <v>438</v>
      </c>
      <c r="BG6" s="287">
        <v>50000000</v>
      </c>
      <c r="BH6" s="287">
        <v>0</v>
      </c>
      <c r="BI6" s="287">
        <v>0</v>
      </c>
      <c r="BJ6" s="372">
        <f t="shared" si="20"/>
        <v>50000</v>
      </c>
      <c r="BK6" s="372">
        <f t="shared" si="21"/>
        <v>0</v>
      </c>
      <c r="BL6" s="372">
        <f t="shared" si="22"/>
        <v>0</v>
      </c>
      <c r="BN6" s="286" t="s">
        <v>417</v>
      </c>
      <c r="BO6" s="286" t="s">
        <v>299</v>
      </c>
      <c r="BP6" s="286" t="s">
        <v>419</v>
      </c>
      <c r="BQ6" s="286" t="s">
        <v>330</v>
      </c>
      <c r="BR6" s="287">
        <v>128480</v>
      </c>
      <c r="BS6" s="287">
        <f t="shared" si="23"/>
        <v>128.47999999999999</v>
      </c>
      <c r="BV6" s="286" t="s">
        <v>414</v>
      </c>
      <c r="BW6" s="286" t="s">
        <v>436</v>
      </c>
      <c r="BX6" s="286" t="s">
        <v>437</v>
      </c>
      <c r="BY6" s="286" t="s">
        <v>438</v>
      </c>
      <c r="BZ6" s="287">
        <v>50000000</v>
      </c>
      <c r="CA6" s="287">
        <v>0</v>
      </c>
      <c r="CB6" s="287">
        <v>0</v>
      </c>
      <c r="CC6" s="287">
        <f t="shared" si="24"/>
        <v>50000</v>
      </c>
      <c r="CD6" s="287">
        <f t="shared" si="25"/>
        <v>0</v>
      </c>
      <c r="CE6" s="287">
        <f t="shared" si="26"/>
        <v>0</v>
      </c>
      <c r="CG6" s="286" t="s">
        <v>417</v>
      </c>
      <c r="CH6" s="286" t="s">
        <v>299</v>
      </c>
      <c r="CI6" s="286" t="s">
        <v>418</v>
      </c>
      <c r="CJ6" s="286" t="s">
        <v>319</v>
      </c>
      <c r="CK6" s="287">
        <v>131406021</v>
      </c>
      <c r="CL6" s="287">
        <f t="shared" si="27"/>
        <v>131406.02100000001</v>
      </c>
      <c r="CN6" s="286" t="s">
        <v>414</v>
      </c>
      <c r="CO6" s="286" t="s">
        <v>436</v>
      </c>
      <c r="CP6" s="286" t="s">
        <v>437</v>
      </c>
      <c r="CQ6" s="286" t="s">
        <v>438</v>
      </c>
      <c r="CR6" s="287">
        <v>50000000</v>
      </c>
      <c r="CS6" s="287">
        <v>0</v>
      </c>
      <c r="CT6" s="287">
        <v>0</v>
      </c>
      <c r="CU6" s="287">
        <f t="shared" si="28"/>
        <v>50000</v>
      </c>
      <c r="CV6" s="287">
        <f t="shared" si="29"/>
        <v>0</v>
      </c>
      <c r="CW6" s="287">
        <f t="shared" si="30"/>
        <v>0</v>
      </c>
      <c r="CY6" s="286" t="s">
        <v>417</v>
      </c>
      <c r="CZ6" s="288" t="s">
        <v>299</v>
      </c>
      <c r="DA6" s="286" t="s">
        <v>418</v>
      </c>
      <c r="DB6" s="288" t="s">
        <v>319</v>
      </c>
      <c r="DC6" s="287">
        <v>124749961</v>
      </c>
      <c r="DD6" s="363">
        <f t="shared" si="31"/>
        <v>124749.961</v>
      </c>
      <c r="DF6" s="286" t="s">
        <v>414</v>
      </c>
      <c r="DG6" s="288" t="s">
        <v>436</v>
      </c>
      <c r="DH6" s="286" t="s">
        <v>437</v>
      </c>
      <c r="DI6" s="288" t="s">
        <v>438</v>
      </c>
      <c r="DJ6" s="287">
        <v>50000000</v>
      </c>
      <c r="DK6" s="287">
        <v>0</v>
      </c>
      <c r="DL6" s="287">
        <v>0</v>
      </c>
      <c r="DM6" s="371">
        <f t="shared" si="32"/>
        <v>50000</v>
      </c>
      <c r="DN6" s="371">
        <f t="shared" si="33"/>
        <v>0</v>
      </c>
      <c r="DO6" s="371">
        <f t="shared" si="34"/>
        <v>0</v>
      </c>
      <c r="DQ6" s="286" t="s">
        <v>417</v>
      </c>
      <c r="DR6" s="288" t="s">
        <v>299</v>
      </c>
      <c r="DS6" s="286" t="s">
        <v>418</v>
      </c>
      <c r="DT6" s="288" t="s">
        <v>319</v>
      </c>
      <c r="DU6" s="287">
        <v>24066150</v>
      </c>
      <c r="DV6" s="372">
        <f t="shared" si="35"/>
        <v>24066.15</v>
      </c>
      <c r="DX6" s="286" t="s">
        <v>414</v>
      </c>
      <c r="DY6" s="288" t="s">
        <v>436</v>
      </c>
      <c r="DZ6" s="286" t="s">
        <v>437</v>
      </c>
      <c r="EA6" s="288" t="s">
        <v>438</v>
      </c>
      <c r="EB6" s="287">
        <v>50000000</v>
      </c>
      <c r="EC6" s="287">
        <v>0</v>
      </c>
      <c r="ED6" s="287">
        <v>0</v>
      </c>
      <c r="EE6" s="287">
        <f t="shared" si="36"/>
        <v>50000</v>
      </c>
      <c r="EF6" s="287">
        <f t="shared" si="37"/>
        <v>0</v>
      </c>
      <c r="EG6" s="287">
        <f t="shared" si="38"/>
        <v>0</v>
      </c>
      <c r="EI6" s="286" t="s">
        <v>417</v>
      </c>
      <c r="EJ6" s="288" t="s">
        <v>299</v>
      </c>
      <c r="EK6" s="286" t="s">
        <v>419</v>
      </c>
      <c r="EL6" s="288" t="s">
        <v>330</v>
      </c>
      <c r="EM6" s="287">
        <v>27673505</v>
      </c>
      <c r="EN6" s="371">
        <f t="shared" si="39"/>
        <v>27673.505000000001</v>
      </c>
      <c r="EQ6" s="286" t="s">
        <v>414</v>
      </c>
      <c r="ER6" s="288" t="s">
        <v>436</v>
      </c>
      <c r="ES6" s="286" t="s">
        <v>437</v>
      </c>
      <c r="ET6" s="286" t="s">
        <v>438</v>
      </c>
      <c r="EU6" s="287">
        <v>50000000</v>
      </c>
      <c r="EV6" s="287">
        <v>0</v>
      </c>
      <c r="EW6" s="287">
        <v>0</v>
      </c>
      <c r="EX6" s="376">
        <f t="shared" si="40"/>
        <v>50000</v>
      </c>
      <c r="EY6" s="376">
        <f t="shared" si="41"/>
        <v>0</v>
      </c>
      <c r="EZ6" s="376">
        <f t="shared" si="42"/>
        <v>0</v>
      </c>
      <c r="FB6" s="297" t="s">
        <v>417</v>
      </c>
      <c r="FC6" s="374" t="s">
        <v>299</v>
      </c>
      <c r="FD6" s="297" t="s">
        <v>441</v>
      </c>
      <c r="FE6" s="374" t="s">
        <v>322</v>
      </c>
      <c r="FF6" s="373">
        <v>0</v>
      </c>
      <c r="FG6" s="373">
        <v>738729</v>
      </c>
      <c r="FH6" s="373">
        <v>3846675</v>
      </c>
      <c r="FI6" s="373">
        <f t="shared" si="4"/>
        <v>3846.6750000000002</v>
      </c>
      <c r="FK6" s="297" t="s">
        <v>414</v>
      </c>
      <c r="FL6" s="297" t="s">
        <v>436</v>
      </c>
      <c r="FM6" s="297" t="s">
        <v>437</v>
      </c>
      <c r="FN6" s="297" t="s">
        <v>438</v>
      </c>
      <c r="FO6" s="372">
        <v>50000000</v>
      </c>
      <c r="FP6" s="372">
        <v>0</v>
      </c>
      <c r="FQ6" s="372">
        <v>0</v>
      </c>
      <c r="FR6" s="372">
        <f t="shared" si="43"/>
        <v>50000</v>
      </c>
      <c r="FS6" s="372">
        <f t="shared" si="5"/>
        <v>0</v>
      </c>
      <c r="FT6" s="372">
        <f t="shared" si="5"/>
        <v>0</v>
      </c>
      <c r="FV6" s="286" t="s">
        <v>417</v>
      </c>
      <c r="FW6" s="286" t="s">
        <v>299</v>
      </c>
      <c r="FX6" s="286" t="s">
        <v>420</v>
      </c>
      <c r="FY6" s="286" t="s">
        <v>320</v>
      </c>
      <c r="FZ6" s="287">
        <v>2159010</v>
      </c>
      <c r="GA6" s="287">
        <f t="shared" si="44"/>
        <v>2159.0100000000002</v>
      </c>
      <c r="GC6" s="275" t="s">
        <v>414</v>
      </c>
      <c r="GD6" s="275" t="s">
        <v>436</v>
      </c>
      <c r="GE6" s="275" t="s">
        <v>437</v>
      </c>
      <c r="GF6" s="275" t="s">
        <v>438</v>
      </c>
      <c r="GG6" s="372">
        <v>50000000</v>
      </c>
      <c r="GH6" s="372">
        <v>0</v>
      </c>
      <c r="GI6" s="372">
        <v>0</v>
      </c>
      <c r="GJ6" s="372">
        <f t="shared" si="45"/>
        <v>50000</v>
      </c>
      <c r="GK6" s="372">
        <f t="shared" si="46"/>
        <v>0</v>
      </c>
      <c r="GL6" s="372">
        <f t="shared" si="47"/>
        <v>0</v>
      </c>
      <c r="GN6" s="286" t="s">
        <v>414</v>
      </c>
      <c r="GO6" s="288" t="s">
        <v>436</v>
      </c>
      <c r="GP6" s="286" t="s">
        <v>439</v>
      </c>
      <c r="GQ6" s="286" t="s">
        <v>267</v>
      </c>
      <c r="GR6" s="287">
        <v>312975000</v>
      </c>
      <c r="GS6" s="491">
        <f t="shared" si="48"/>
        <v>312975</v>
      </c>
      <c r="GU6" s="275" t="s">
        <v>414</v>
      </c>
      <c r="GV6" s="275" t="s">
        <v>436</v>
      </c>
      <c r="GW6" s="275" t="s">
        <v>437</v>
      </c>
      <c r="GX6" s="275" t="s">
        <v>438</v>
      </c>
      <c r="GY6" s="491">
        <v>50000000</v>
      </c>
      <c r="GZ6" s="491">
        <v>0</v>
      </c>
      <c r="HA6" s="491">
        <v>0</v>
      </c>
      <c r="HB6" s="305">
        <f t="shared" si="49"/>
        <v>50000</v>
      </c>
      <c r="HC6" s="305">
        <f t="shared" si="50"/>
        <v>0</v>
      </c>
      <c r="HD6" s="305">
        <f t="shared" si="51"/>
        <v>0</v>
      </c>
    </row>
    <row r="7" spans="1:212" ht="15" customHeight="1" x14ac:dyDescent="0.2">
      <c r="A7" s="286" t="s">
        <v>414</v>
      </c>
      <c r="B7" s="286" t="s">
        <v>436</v>
      </c>
      <c r="C7" s="286" t="s">
        <v>429</v>
      </c>
      <c r="D7" s="286" t="s">
        <v>429</v>
      </c>
      <c r="E7" s="287">
        <v>0</v>
      </c>
      <c r="F7" s="287">
        <v>0</v>
      </c>
      <c r="G7" s="287">
        <v>0</v>
      </c>
      <c r="H7" s="371">
        <f t="shared" si="8"/>
        <v>0</v>
      </c>
      <c r="I7" s="371">
        <f t="shared" si="9"/>
        <v>0</v>
      </c>
      <c r="J7" s="371">
        <f t="shared" si="10"/>
        <v>0</v>
      </c>
      <c r="L7" s="359" t="s">
        <v>421</v>
      </c>
      <c r="M7" s="360" t="s">
        <v>326</v>
      </c>
      <c r="N7" s="359" t="s">
        <v>589</v>
      </c>
      <c r="O7" s="360" t="s">
        <v>590</v>
      </c>
      <c r="P7" s="361">
        <v>780000</v>
      </c>
      <c r="Q7" s="361">
        <f t="shared" si="11"/>
        <v>812.76</v>
      </c>
      <c r="S7" s="286" t="s">
        <v>414</v>
      </c>
      <c r="T7" s="288" t="s">
        <v>436</v>
      </c>
      <c r="U7" s="286" t="s">
        <v>639</v>
      </c>
      <c r="V7" s="288" t="s">
        <v>640</v>
      </c>
      <c r="W7" s="287">
        <v>0</v>
      </c>
      <c r="X7" s="287">
        <v>23310000</v>
      </c>
      <c r="Y7" s="287">
        <v>3330000</v>
      </c>
      <c r="Z7" s="361">
        <f t="shared" si="12"/>
        <v>0</v>
      </c>
      <c r="AA7" s="361">
        <f t="shared" si="13"/>
        <v>24289.02</v>
      </c>
      <c r="AB7" s="361">
        <f t="shared" si="14"/>
        <v>3469.86</v>
      </c>
      <c r="AD7" s="286" t="s">
        <v>417</v>
      </c>
      <c r="AE7" s="286" t="s">
        <v>299</v>
      </c>
      <c r="AF7" s="286" t="s">
        <v>419</v>
      </c>
      <c r="AG7" s="288" t="s">
        <v>330</v>
      </c>
      <c r="AH7" s="287">
        <v>892595</v>
      </c>
      <c r="AI7" s="287">
        <f t="shared" si="15"/>
        <v>892.59500000000003</v>
      </c>
      <c r="AK7" s="286" t="s">
        <v>414</v>
      </c>
      <c r="AL7" s="286" t="s">
        <v>436</v>
      </c>
      <c r="AM7" s="286" t="s">
        <v>429</v>
      </c>
      <c r="AN7" s="286" t="s">
        <v>429</v>
      </c>
      <c r="AO7" s="287">
        <v>0</v>
      </c>
      <c r="AP7" s="287">
        <v>0</v>
      </c>
      <c r="AQ7" s="287">
        <v>0</v>
      </c>
      <c r="AR7" s="287">
        <f t="shared" si="16"/>
        <v>0</v>
      </c>
      <c r="AS7" s="287">
        <f t="shared" si="17"/>
        <v>0</v>
      </c>
      <c r="AT7" s="287">
        <f t="shared" si="18"/>
        <v>0</v>
      </c>
      <c r="AV7" s="286" t="s">
        <v>417</v>
      </c>
      <c r="AW7" s="286" t="s">
        <v>299</v>
      </c>
      <c r="AX7" s="286" t="s">
        <v>420</v>
      </c>
      <c r="AY7" s="286" t="s">
        <v>320</v>
      </c>
      <c r="AZ7" s="287">
        <v>2159010</v>
      </c>
      <c r="BA7" s="372">
        <f t="shared" si="19"/>
        <v>2159.0100000000002</v>
      </c>
      <c r="BC7" s="286" t="s">
        <v>414</v>
      </c>
      <c r="BD7" s="286" t="s">
        <v>436</v>
      </c>
      <c r="BE7" s="286" t="s">
        <v>439</v>
      </c>
      <c r="BF7" s="286" t="s">
        <v>267</v>
      </c>
      <c r="BG7" s="287">
        <v>0</v>
      </c>
      <c r="BH7" s="287">
        <v>974277500</v>
      </c>
      <c r="BI7" s="287">
        <v>369964375</v>
      </c>
      <c r="BJ7" s="372">
        <f t="shared" si="20"/>
        <v>0</v>
      </c>
      <c r="BK7" s="372">
        <f t="shared" si="21"/>
        <v>974277.5</v>
      </c>
      <c r="BL7" s="372">
        <f t="shared" si="22"/>
        <v>369964.375</v>
      </c>
      <c r="BN7" s="286" t="s">
        <v>417</v>
      </c>
      <c r="BO7" s="286" t="s">
        <v>299</v>
      </c>
      <c r="BP7" s="286" t="s">
        <v>441</v>
      </c>
      <c r="BQ7" s="286" t="s">
        <v>322</v>
      </c>
      <c r="BR7" s="287">
        <v>3291920</v>
      </c>
      <c r="BS7" s="287">
        <f t="shared" si="23"/>
        <v>3291.92</v>
      </c>
      <c r="BV7" s="286" t="s">
        <v>414</v>
      </c>
      <c r="BW7" s="286" t="s">
        <v>436</v>
      </c>
      <c r="BX7" s="286" t="s">
        <v>439</v>
      </c>
      <c r="BY7" s="286" t="s">
        <v>267</v>
      </c>
      <c r="BZ7" s="287">
        <v>0</v>
      </c>
      <c r="CA7" s="287">
        <v>974277500</v>
      </c>
      <c r="CB7" s="287">
        <v>375964375</v>
      </c>
      <c r="CC7" s="287">
        <f t="shared" si="24"/>
        <v>0</v>
      </c>
      <c r="CD7" s="287">
        <f t="shared" si="25"/>
        <v>974277.5</v>
      </c>
      <c r="CE7" s="287">
        <f t="shared" si="26"/>
        <v>375964.375</v>
      </c>
      <c r="CG7" s="286" t="s">
        <v>421</v>
      </c>
      <c r="CH7" s="286" t="s">
        <v>326</v>
      </c>
      <c r="CI7" s="286" t="s">
        <v>422</v>
      </c>
      <c r="CJ7" s="286" t="s">
        <v>470</v>
      </c>
      <c r="CK7" s="287">
        <v>48000000</v>
      </c>
      <c r="CL7" s="287">
        <f t="shared" si="27"/>
        <v>48000</v>
      </c>
      <c r="CN7" s="286" t="s">
        <v>414</v>
      </c>
      <c r="CO7" s="286" t="s">
        <v>436</v>
      </c>
      <c r="CP7" s="286" t="s">
        <v>439</v>
      </c>
      <c r="CQ7" s="286" t="s">
        <v>267</v>
      </c>
      <c r="CR7" s="287">
        <v>0</v>
      </c>
      <c r="CS7" s="287">
        <v>974277500</v>
      </c>
      <c r="CT7" s="287">
        <v>382964375</v>
      </c>
      <c r="CU7" s="287">
        <f t="shared" si="28"/>
        <v>0</v>
      </c>
      <c r="CV7" s="287">
        <f t="shared" si="29"/>
        <v>974277.5</v>
      </c>
      <c r="CW7" s="287">
        <f t="shared" si="30"/>
        <v>382964.375</v>
      </c>
      <c r="CY7" s="286" t="s">
        <v>421</v>
      </c>
      <c r="CZ7" s="288" t="s">
        <v>326</v>
      </c>
      <c r="DA7" s="286" t="s">
        <v>589</v>
      </c>
      <c r="DB7" s="288" t="s">
        <v>590</v>
      </c>
      <c r="DC7" s="287">
        <v>24989000</v>
      </c>
      <c r="DD7" s="363">
        <f t="shared" si="31"/>
        <v>24989</v>
      </c>
      <c r="DF7" s="286" t="s">
        <v>414</v>
      </c>
      <c r="DG7" s="288" t="s">
        <v>436</v>
      </c>
      <c r="DH7" s="286" t="s">
        <v>639</v>
      </c>
      <c r="DI7" s="288" t="s">
        <v>640</v>
      </c>
      <c r="DJ7" s="287">
        <v>0</v>
      </c>
      <c r="DK7" s="287">
        <v>28799456</v>
      </c>
      <c r="DL7" s="287">
        <v>19980000</v>
      </c>
      <c r="DM7" s="371">
        <f t="shared" si="32"/>
        <v>0</v>
      </c>
      <c r="DN7" s="371">
        <f t="shared" si="33"/>
        <v>28799.455999999998</v>
      </c>
      <c r="DO7" s="371">
        <f t="shared" si="34"/>
        <v>19980</v>
      </c>
      <c r="DQ7" s="286" t="s">
        <v>421</v>
      </c>
      <c r="DR7" s="288" t="s">
        <v>326</v>
      </c>
      <c r="DS7" s="286" t="s">
        <v>589</v>
      </c>
      <c r="DT7" s="288" t="s">
        <v>590</v>
      </c>
      <c r="DU7" s="287">
        <v>780000</v>
      </c>
      <c r="DV7" s="372">
        <f t="shared" si="35"/>
        <v>780</v>
      </c>
      <c r="DX7" s="286" t="s">
        <v>414</v>
      </c>
      <c r="DY7" s="288" t="s">
        <v>436</v>
      </c>
      <c r="DZ7" s="286" t="s">
        <v>429</v>
      </c>
      <c r="EA7" s="288" t="s">
        <v>429</v>
      </c>
      <c r="EB7" s="287">
        <v>0</v>
      </c>
      <c r="EC7" s="287">
        <v>0</v>
      </c>
      <c r="ED7" s="287">
        <v>0</v>
      </c>
      <c r="EE7" s="287">
        <f t="shared" si="36"/>
        <v>0</v>
      </c>
      <c r="EF7" s="287">
        <f t="shared" si="37"/>
        <v>0</v>
      </c>
      <c r="EG7" s="287">
        <f t="shared" si="38"/>
        <v>0</v>
      </c>
      <c r="EI7" s="286" t="s">
        <v>417</v>
      </c>
      <c r="EJ7" s="288" t="s">
        <v>299</v>
      </c>
      <c r="EK7" s="286" t="s">
        <v>418</v>
      </c>
      <c r="EL7" s="288" t="s">
        <v>319</v>
      </c>
      <c r="EM7" s="287">
        <v>46713500</v>
      </c>
      <c r="EN7" s="371">
        <f t="shared" si="39"/>
        <v>46713.5</v>
      </c>
      <c r="EQ7" s="286" t="s">
        <v>414</v>
      </c>
      <c r="ER7" s="288" t="s">
        <v>436</v>
      </c>
      <c r="ES7" s="286" t="s">
        <v>429</v>
      </c>
      <c r="ET7" s="286" t="s">
        <v>429</v>
      </c>
      <c r="EU7" s="287">
        <v>0</v>
      </c>
      <c r="EV7" s="287">
        <v>0</v>
      </c>
      <c r="EW7" s="287">
        <v>0</v>
      </c>
      <c r="EX7" s="376">
        <f t="shared" si="40"/>
        <v>0</v>
      </c>
      <c r="EY7" s="376">
        <f t="shared" si="41"/>
        <v>0</v>
      </c>
      <c r="EZ7" s="376">
        <f t="shared" si="42"/>
        <v>0</v>
      </c>
      <c r="FB7" s="297" t="s">
        <v>417</v>
      </c>
      <c r="FC7" s="374" t="s">
        <v>299</v>
      </c>
      <c r="FD7" s="297" t="s">
        <v>418</v>
      </c>
      <c r="FE7" s="374" t="s">
        <v>319</v>
      </c>
      <c r="FF7" s="373">
        <v>0</v>
      </c>
      <c r="FG7" s="373">
        <v>602029706</v>
      </c>
      <c r="FH7" s="373">
        <v>56156085</v>
      </c>
      <c r="FI7" s="373">
        <f t="shared" si="4"/>
        <v>56156.084999999999</v>
      </c>
      <c r="FK7" s="297" t="s">
        <v>414</v>
      </c>
      <c r="FL7" s="297" t="s">
        <v>436</v>
      </c>
      <c r="FM7" s="297" t="s">
        <v>639</v>
      </c>
      <c r="FN7" s="297" t="s">
        <v>640</v>
      </c>
      <c r="FO7" s="372">
        <v>0</v>
      </c>
      <c r="FP7" s="372">
        <v>49363679</v>
      </c>
      <c r="FQ7" s="372">
        <v>34163679</v>
      </c>
      <c r="FR7" s="372">
        <f t="shared" si="43"/>
        <v>0</v>
      </c>
      <c r="FS7" s="372">
        <f>FP7/$FR$1*$FS$1</f>
        <v>49363.678999999996</v>
      </c>
      <c r="FT7" s="372">
        <f t="shared" si="5"/>
        <v>34163.678999999996</v>
      </c>
      <c r="FV7" s="286" t="s">
        <v>417</v>
      </c>
      <c r="FW7" s="286" t="s">
        <v>299</v>
      </c>
      <c r="FX7" s="286" t="s">
        <v>418</v>
      </c>
      <c r="FY7" s="286" t="s">
        <v>319</v>
      </c>
      <c r="FZ7" s="287">
        <v>490132325</v>
      </c>
      <c r="GA7" s="287">
        <f t="shared" si="44"/>
        <v>490132.32500000001</v>
      </c>
      <c r="GC7" s="275" t="s">
        <v>414</v>
      </c>
      <c r="GD7" s="275" t="s">
        <v>436</v>
      </c>
      <c r="GE7" s="275" t="s">
        <v>437</v>
      </c>
      <c r="GF7" s="275" t="s">
        <v>438</v>
      </c>
      <c r="GG7" s="372">
        <v>0</v>
      </c>
      <c r="GH7" s="372">
        <v>50000000</v>
      </c>
      <c r="GI7" s="372">
        <v>0</v>
      </c>
      <c r="GJ7" s="372">
        <f t="shared" si="45"/>
        <v>0</v>
      </c>
      <c r="GK7" s="372">
        <f t="shared" si="46"/>
        <v>50000</v>
      </c>
      <c r="GL7" s="372">
        <f t="shared" si="47"/>
        <v>0</v>
      </c>
      <c r="GN7" s="286" t="s">
        <v>417</v>
      </c>
      <c r="GO7" s="288" t="s">
        <v>299</v>
      </c>
      <c r="GP7" s="286" t="s">
        <v>420</v>
      </c>
      <c r="GQ7" s="286" t="s">
        <v>320</v>
      </c>
      <c r="GR7" s="287">
        <v>2159010</v>
      </c>
      <c r="GS7" s="491">
        <f t="shared" si="48"/>
        <v>2159.0100000000002</v>
      </c>
      <c r="GU7" s="275" t="s">
        <v>414</v>
      </c>
      <c r="GV7" s="275" t="s">
        <v>436</v>
      </c>
      <c r="GW7" s="275" t="s">
        <v>439</v>
      </c>
      <c r="GX7" s="275" t="s">
        <v>267</v>
      </c>
      <c r="GY7" s="491">
        <v>0</v>
      </c>
      <c r="GZ7" s="491">
        <v>1158750000</v>
      </c>
      <c r="HA7" s="491">
        <v>1158750000</v>
      </c>
      <c r="HB7" s="305">
        <f t="shared" si="49"/>
        <v>0</v>
      </c>
      <c r="HC7" s="305">
        <f t="shared" si="50"/>
        <v>1158750</v>
      </c>
      <c r="HD7" s="305">
        <f t="shared" si="51"/>
        <v>1158750</v>
      </c>
    </row>
    <row r="8" spans="1:212" ht="15" customHeight="1" x14ac:dyDescent="0.2">
      <c r="A8" s="286" t="s">
        <v>414</v>
      </c>
      <c r="B8" s="286" t="s">
        <v>436</v>
      </c>
      <c r="C8" s="286" t="s">
        <v>639</v>
      </c>
      <c r="D8" s="286" t="s">
        <v>640</v>
      </c>
      <c r="E8" s="287">
        <v>0</v>
      </c>
      <c r="F8" s="287">
        <v>23310000</v>
      </c>
      <c r="G8" s="287">
        <v>0</v>
      </c>
      <c r="H8" s="371">
        <f t="shared" si="8"/>
        <v>0</v>
      </c>
      <c r="I8" s="371">
        <f t="shared" si="9"/>
        <v>24289.02</v>
      </c>
      <c r="J8" s="371">
        <f t="shared" si="10"/>
        <v>0</v>
      </c>
      <c r="L8" s="359" t="s">
        <v>421</v>
      </c>
      <c r="M8" s="360" t="s">
        <v>326</v>
      </c>
      <c r="N8" s="359" t="s">
        <v>442</v>
      </c>
      <c r="O8" s="360" t="s">
        <v>593</v>
      </c>
      <c r="P8" s="361">
        <v>65000000</v>
      </c>
      <c r="Q8" s="361">
        <f t="shared" si="11"/>
        <v>67730</v>
      </c>
      <c r="S8" s="286" t="s">
        <v>414</v>
      </c>
      <c r="T8" s="288" t="s">
        <v>436</v>
      </c>
      <c r="U8" s="286" t="s">
        <v>429</v>
      </c>
      <c r="V8" s="288" t="s">
        <v>429</v>
      </c>
      <c r="W8" s="287">
        <v>0</v>
      </c>
      <c r="X8" s="287">
        <v>0</v>
      </c>
      <c r="Y8" s="287">
        <v>0</v>
      </c>
      <c r="Z8" s="361">
        <f t="shared" si="12"/>
        <v>0</v>
      </c>
      <c r="AA8" s="361">
        <f t="shared" si="13"/>
        <v>0</v>
      </c>
      <c r="AB8" s="361">
        <f t="shared" si="14"/>
        <v>0</v>
      </c>
      <c r="AD8" s="286" t="s">
        <v>417</v>
      </c>
      <c r="AE8" s="286" t="s">
        <v>299</v>
      </c>
      <c r="AF8" s="286" t="s">
        <v>441</v>
      </c>
      <c r="AG8" s="288" t="s">
        <v>322</v>
      </c>
      <c r="AH8" s="287">
        <v>232050</v>
      </c>
      <c r="AI8" s="287">
        <f t="shared" si="15"/>
        <v>232.05</v>
      </c>
      <c r="AK8" s="286" t="s">
        <v>414</v>
      </c>
      <c r="AL8" s="286" t="s">
        <v>436</v>
      </c>
      <c r="AM8" s="286" t="s">
        <v>639</v>
      </c>
      <c r="AN8" s="286" t="s">
        <v>640</v>
      </c>
      <c r="AO8" s="287">
        <v>0</v>
      </c>
      <c r="AP8" s="287">
        <v>23310000</v>
      </c>
      <c r="AQ8" s="287">
        <v>6660000</v>
      </c>
      <c r="AR8" s="287">
        <f t="shared" si="16"/>
        <v>0</v>
      </c>
      <c r="AS8" s="287">
        <f t="shared" si="17"/>
        <v>23310</v>
      </c>
      <c r="AT8" s="287">
        <f t="shared" si="18"/>
        <v>6660</v>
      </c>
      <c r="AV8" s="286" t="s">
        <v>417</v>
      </c>
      <c r="AW8" s="286" t="s">
        <v>299</v>
      </c>
      <c r="AX8" s="286" t="s">
        <v>441</v>
      </c>
      <c r="AY8" s="286" t="s">
        <v>322</v>
      </c>
      <c r="AZ8" s="287">
        <v>1079187</v>
      </c>
      <c r="BA8" s="372">
        <f t="shared" si="19"/>
        <v>1079.1869999999999</v>
      </c>
      <c r="BC8" s="286" t="s">
        <v>414</v>
      </c>
      <c r="BD8" s="286" t="s">
        <v>436</v>
      </c>
      <c r="BE8" s="286" t="s">
        <v>429</v>
      </c>
      <c r="BF8" s="286" t="s">
        <v>429</v>
      </c>
      <c r="BG8" s="287">
        <v>0</v>
      </c>
      <c r="BH8" s="287">
        <v>0</v>
      </c>
      <c r="BI8" s="287">
        <v>0</v>
      </c>
      <c r="BJ8" s="372">
        <f t="shared" si="20"/>
        <v>0</v>
      </c>
      <c r="BK8" s="372">
        <f t="shared" si="21"/>
        <v>0</v>
      </c>
      <c r="BL8" s="372">
        <f t="shared" si="22"/>
        <v>0</v>
      </c>
      <c r="BN8" s="286" t="s">
        <v>417</v>
      </c>
      <c r="BO8" s="286" t="s">
        <v>299</v>
      </c>
      <c r="BP8" s="286" t="s">
        <v>418</v>
      </c>
      <c r="BQ8" s="286" t="s">
        <v>319</v>
      </c>
      <c r="BR8" s="287">
        <v>488757400</v>
      </c>
      <c r="BS8" s="287">
        <f t="shared" si="23"/>
        <v>488757.4</v>
      </c>
      <c r="BV8" s="286" t="s">
        <v>414</v>
      </c>
      <c r="BW8" s="286" t="s">
        <v>436</v>
      </c>
      <c r="BX8" s="286" t="s">
        <v>639</v>
      </c>
      <c r="BY8" s="286" t="s">
        <v>640</v>
      </c>
      <c r="BZ8" s="287">
        <v>0</v>
      </c>
      <c r="CA8" s="287">
        <v>28799456</v>
      </c>
      <c r="CB8" s="287">
        <v>13320000</v>
      </c>
      <c r="CC8" s="287">
        <f t="shared" si="24"/>
        <v>0</v>
      </c>
      <c r="CD8" s="287">
        <f t="shared" si="25"/>
        <v>28799.455999999998</v>
      </c>
      <c r="CE8" s="287">
        <f t="shared" si="26"/>
        <v>13320</v>
      </c>
      <c r="CG8" s="286" t="s">
        <v>421</v>
      </c>
      <c r="CH8" s="286" t="s">
        <v>326</v>
      </c>
      <c r="CI8" s="286" t="s">
        <v>589</v>
      </c>
      <c r="CJ8" s="286" t="s">
        <v>590</v>
      </c>
      <c r="CK8" s="287">
        <v>780000</v>
      </c>
      <c r="CL8" s="287">
        <f t="shared" si="27"/>
        <v>780</v>
      </c>
      <c r="CN8" s="286" t="s">
        <v>414</v>
      </c>
      <c r="CO8" s="286" t="s">
        <v>436</v>
      </c>
      <c r="CP8" s="286" t="s">
        <v>639</v>
      </c>
      <c r="CQ8" s="286" t="s">
        <v>640</v>
      </c>
      <c r="CR8" s="287">
        <v>0</v>
      </c>
      <c r="CS8" s="287">
        <v>28799456</v>
      </c>
      <c r="CT8" s="287">
        <v>16650000</v>
      </c>
      <c r="CU8" s="287">
        <f t="shared" si="28"/>
        <v>0</v>
      </c>
      <c r="CV8" s="287">
        <f t="shared" si="29"/>
        <v>28799.455999999998</v>
      </c>
      <c r="CW8" s="287">
        <f t="shared" si="30"/>
        <v>16650</v>
      </c>
      <c r="CY8" s="286" t="s">
        <v>421</v>
      </c>
      <c r="CZ8" s="288" t="s">
        <v>326</v>
      </c>
      <c r="DA8" s="286" t="s">
        <v>476</v>
      </c>
      <c r="DB8" s="288" t="s">
        <v>592</v>
      </c>
      <c r="DC8" s="287">
        <v>26870676</v>
      </c>
      <c r="DD8" s="363">
        <f t="shared" si="31"/>
        <v>26870.675999999999</v>
      </c>
      <c r="DF8" s="286" t="s">
        <v>414</v>
      </c>
      <c r="DG8" s="288" t="s">
        <v>436</v>
      </c>
      <c r="DH8" s="286" t="s">
        <v>439</v>
      </c>
      <c r="DI8" s="288" t="s">
        <v>267</v>
      </c>
      <c r="DJ8" s="287">
        <v>0</v>
      </c>
      <c r="DK8" s="287">
        <v>1004277500</v>
      </c>
      <c r="DL8" s="287">
        <v>448239375</v>
      </c>
      <c r="DM8" s="371">
        <f t="shared" si="32"/>
        <v>0</v>
      </c>
      <c r="DN8" s="371">
        <f t="shared" si="33"/>
        <v>1004277.5</v>
      </c>
      <c r="DO8" s="371">
        <f t="shared" si="34"/>
        <v>448239.375</v>
      </c>
      <c r="DQ8" s="286" t="s">
        <v>421</v>
      </c>
      <c r="DR8" s="288" t="s">
        <v>326</v>
      </c>
      <c r="DS8" s="286" t="s">
        <v>476</v>
      </c>
      <c r="DT8" s="288" t="s">
        <v>592</v>
      </c>
      <c r="DU8" s="287">
        <v>25528594</v>
      </c>
      <c r="DV8" s="372">
        <f t="shared" si="35"/>
        <v>25528.594000000001</v>
      </c>
      <c r="DX8" s="286" t="s">
        <v>414</v>
      </c>
      <c r="DY8" s="288" t="s">
        <v>436</v>
      </c>
      <c r="DZ8" s="286" t="s">
        <v>439</v>
      </c>
      <c r="EA8" s="288" t="s">
        <v>267</v>
      </c>
      <c r="EB8" s="287">
        <v>0</v>
      </c>
      <c r="EC8" s="287">
        <v>1086727500</v>
      </c>
      <c r="ED8" s="287">
        <v>680801250</v>
      </c>
      <c r="EE8" s="287">
        <f t="shared" si="36"/>
        <v>0</v>
      </c>
      <c r="EF8" s="287">
        <f t="shared" si="37"/>
        <v>1086727.5</v>
      </c>
      <c r="EG8" s="287">
        <f t="shared" si="38"/>
        <v>680801.25</v>
      </c>
      <c r="EI8" s="286" t="s">
        <v>421</v>
      </c>
      <c r="EJ8" s="288" t="s">
        <v>326</v>
      </c>
      <c r="EK8" s="286" t="s">
        <v>467</v>
      </c>
      <c r="EL8" s="288" t="s">
        <v>591</v>
      </c>
      <c r="EM8" s="287">
        <v>50000000</v>
      </c>
      <c r="EN8" s="371">
        <f t="shared" si="39"/>
        <v>50000</v>
      </c>
      <c r="EQ8" s="286" t="s">
        <v>414</v>
      </c>
      <c r="ER8" s="288" t="s">
        <v>436</v>
      </c>
      <c r="ES8" s="286" t="s">
        <v>639</v>
      </c>
      <c r="ET8" s="286" t="s">
        <v>640</v>
      </c>
      <c r="EU8" s="287">
        <v>0</v>
      </c>
      <c r="EV8" s="287">
        <v>28799456</v>
      </c>
      <c r="EW8" s="287">
        <v>43999456</v>
      </c>
      <c r="EX8" s="376">
        <f t="shared" si="40"/>
        <v>0</v>
      </c>
      <c r="EY8" s="376">
        <f t="shared" si="41"/>
        <v>28799.455999999998</v>
      </c>
      <c r="EZ8" s="376">
        <f t="shared" si="42"/>
        <v>43999.455999999998</v>
      </c>
      <c r="FB8" s="297" t="s">
        <v>421</v>
      </c>
      <c r="FC8" s="374" t="s">
        <v>326</v>
      </c>
      <c r="FD8" s="297" t="s">
        <v>442</v>
      </c>
      <c r="FE8" s="374" t="s">
        <v>593</v>
      </c>
      <c r="FF8" s="373">
        <v>0</v>
      </c>
      <c r="FG8" s="373">
        <v>0</v>
      </c>
      <c r="FH8" s="373">
        <v>45330000</v>
      </c>
      <c r="FI8" s="373">
        <f t="shared" si="4"/>
        <v>45330</v>
      </c>
      <c r="FK8" s="297" t="s">
        <v>414</v>
      </c>
      <c r="FL8" s="297" t="s">
        <v>436</v>
      </c>
      <c r="FM8" s="297" t="s">
        <v>437</v>
      </c>
      <c r="FN8" s="297" t="s">
        <v>438</v>
      </c>
      <c r="FO8" s="372">
        <v>0</v>
      </c>
      <c r="FP8" s="372">
        <v>50000000</v>
      </c>
      <c r="FQ8" s="372">
        <v>0</v>
      </c>
      <c r="FR8" s="372">
        <f t="shared" si="43"/>
        <v>0</v>
      </c>
      <c r="FS8" s="372">
        <f t="shared" si="5"/>
        <v>50000</v>
      </c>
      <c r="FT8" s="372">
        <f t="shared" si="5"/>
        <v>0</v>
      </c>
      <c r="FV8" s="286" t="s">
        <v>421</v>
      </c>
      <c r="FW8" s="286" t="s">
        <v>326</v>
      </c>
      <c r="FX8" s="286" t="s">
        <v>442</v>
      </c>
      <c r="FY8" s="286" t="s">
        <v>593</v>
      </c>
      <c r="FZ8" s="287">
        <v>25110000</v>
      </c>
      <c r="GA8" s="287">
        <f t="shared" si="44"/>
        <v>25110</v>
      </c>
      <c r="GC8" s="275" t="s">
        <v>414</v>
      </c>
      <c r="GD8" s="275" t="s">
        <v>436</v>
      </c>
      <c r="GE8" s="275" t="s">
        <v>439</v>
      </c>
      <c r="GF8" s="275" t="s">
        <v>267</v>
      </c>
      <c r="GG8" s="372">
        <v>0</v>
      </c>
      <c r="GH8" s="372">
        <v>1158750000</v>
      </c>
      <c r="GI8" s="372">
        <v>845775000</v>
      </c>
      <c r="GJ8" s="372">
        <f t="shared" si="45"/>
        <v>0</v>
      </c>
      <c r="GK8" s="372">
        <f t="shared" si="46"/>
        <v>1158750</v>
      </c>
      <c r="GL8" s="372">
        <f t="shared" si="47"/>
        <v>845775</v>
      </c>
      <c r="GN8" s="286" t="s">
        <v>417</v>
      </c>
      <c r="GO8" s="288" t="s">
        <v>299</v>
      </c>
      <c r="GP8" s="286" t="s">
        <v>441</v>
      </c>
      <c r="GQ8" s="286" t="s">
        <v>322</v>
      </c>
      <c r="GR8" s="287">
        <v>2117010</v>
      </c>
      <c r="GS8" s="491">
        <f t="shared" si="48"/>
        <v>2117.0100000000002</v>
      </c>
      <c r="GU8" s="275" t="s">
        <v>414</v>
      </c>
      <c r="GV8" s="275" t="s">
        <v>436</v>
      </c>
      <c r="GW8" s="275" t="s">
        <v>437</v>
      </c>
      <c r="GX8" s="275" t="s">
        <v>438</v>
      </c>
      <c r="GY8" s="491">
        <v>0</v>
      </c>
      <c r="GZ8" s="491">
        <v>45000000</v>
      </c>
      <c r="HA8" s="491">
        <v>45000000</v>
      </c>
      <c r="HB8" s="305">
        <f t="shared" si="49"/>
        <v>0</v>
      </c>
      <c r="HC8" s="305">
        <f t="shared" si="50"/>
        <v>45000</v>
      </c>
      <c r="HD8" s="305">
        <f t="shared" si="51"/>
        <v>45000</v>
      </c>
    </row>
    <row r="9" spans="1:212" ht="15" customHeight="1" x14ac:dyDescent="0.2">
      <c r="A9" s="286" t="s">
        <v>414</v>
      </c>
      <c r="B9" s="286" t="s">
        <v>436</v>
      </c>
      <c r="C9" s="286" t="s">
        <v>439</v>
      </c>
      <c r="D9" s="286" t="s">
        <v>267</v>
      </c>
      <c r="E9" s="287">
        <v>0</v>
      </c>
      <c r="F9" s="287">
        <v>859712500</v>
      </c>
      <c r="G9" s="287">
        <v>102150000</v>
      </c>
      <c r="H9" s="371">
        <f t="shared" si="8"/>
        <v>0</v>
      </c>
      <c r="I9" s="371">
        <f t="shared" si="9"/>
        <v>895820.42500000005</v>
      </c>
      <c r="J9" s="371">
        <f t="shared" si="10"/>
        <v>106440.3</v>
      </c>
      <c r="L9" s="359" t="s">
        <v>443</v>
      </c>
      <c r="M9" s="360" t="s">
        <v>444</v>
      </c>
      <c r="N9" s="359" t="s">
        <v>429</v>
      </c>
      <c r="O9" s="360" t="s">
        <v>429</v>
      </c>
      <c r="P9" s="361">
        <v>134929304</v>
      </c>
      <c r="Q9" s="361">
        <f t="shared" si="11"/>
        <v>140596.334768</v>
      </c>
      <c r="S9" s="286" t="s">
        <v>414</v>
      </c>
      <c r="T9" s="288" t="s">
        <v>436</v>
      </c>
      <c r="U9" s="286" t="s">
        <v>439</v>
      </c>
      <c r="V9" s="288" t="s">
        <v>267</v>
      </c>
      <c r="W9" s="287">
        <v>0</v>
      </c>
      <c r="X9" s="287">
        <v>939712500</v>
      </c>
      <c r="Y9" s="287">
        <v>178915991</v>
      </c>
      <c r="Z9" s="361">
        <f t="shared" si="12"/>
        <v>0</v>
      </c>
      <c r="AA9" s="361">
        <f t="shared" si="13"/>
        <v>979180.42500000005</v>
      </c>
      <c r="AB9" s="361">
        <f t="shared" si="14"/>
        <v>186430.46262200002</v>
      </c>
      <c r="AD9" s="286" t="s">
        <v>421</v>
      </c>
      <c r="AE9" s="286" t="s">
        <v>326</v>
      </c>
      <c r="AF9" s="286" t="s">
        <v>442</v>
      </c>
      <c r="AG9" s="288" t="s">
        <v>593</v>
      </c>
      <c r="AH9" s="287">
        <v>10000000</v>
      </c>
      <c r="AI9" s="287">
        <f t="shared" si="15"/>
        <v>10000</v>
      </c>
      <c r="AK9" s="286" t="s">
        <v>414</v>
      </c>
      <c r="AL9" s="286" t="s">
        <v>436</v>
      </c>
      <c r="AM9" s="286" t="s">
        <v>439</v>
      </c>
      <c r="AN9" s="286" t="s">
        <v>267</v>
      </c>
      <c r="AO9" s="287">
        <v>0</v>
      </c>
      <c r="AP9" s="287">
        <v>954277500</v>
      </c>
      <c r="AQ9" s="287">
        <v>316724375</v>
      </c>
      <c r="AR9" s="287">
        <f t="shared" si="16"/>
        <v>0</v>
      </c>
      <c r="AS9" s="287">
        <f t="shared" si="17"/>
        <v>954277.5</v>
      </c>
      <c r="AT9" s="287">
        <f t="shared" si="18"/>
        <v>316724.375</v>
      </c>
      <c r="AV9" s="286" t="s">
        <v>421</v>
      </c>
      <c r="AW9" s="286" t="s">
        <v>326</v>
      </c>
      <c r="AX9" s="286" t="s">
        <v>467</v>
      </c>
      <c r="AY9" s="286" t="s">
        <v>591</v>
      </c>
      <c r="AZ9" s="287">
        <v>340000000</v>
      </c>
      <c r="BA9" s="372">
        <f t="shared" si="19"/>
        <v>340000</v>
      </c>
      <c r="BC9" s="286" t="s">
        <v>414</v>
      </c>
      <c r="BD9" s="286" t="s">
        <v>436</v>
      </c>
      <c r="BE9" s="286" t="s">
        <v>639</v>
      </c>
      <c r="BF9" s="286" t="s">
        <v>640</v>
      </c>
      <c r="BG9" s="287">
        <v>0</v>
      </c>
      <c r="BH9" s="287">
        <v>23310000</v>
      </c>
      <c r="BI9" s="287">
        <v>9990000</v>
      </c>
      <c r="BJ9" s="372">
        <f t="shared" si="20"/>
        <v>0</v>
      </c>
      <c r="BK9" s="372">
        <f t="shared" si="21"/>
        <v>23310</v>
      </c>
      <c r="BL9" s="372">
        <f t="shared" si="22"/>
        <v>9990</v>
      </c>
      <c r="BN9" s="286" t="s">
        <v>421</v>
      </c>
      <c r="BO9" s="286" t="s">
        <v>326</v>
      </c>
      <c r="BP9" s="286" t="s">
        <v>422</v>
      </c>
      <c r="BQ9" s="286" t="s">
        <v>470</v>
      </c>
      <c r="BR9" s="287">
        <v>111963700</v>
      </c>
      <c r="BS9" s="287">
        <f t="shared" si="23"/>
        <v>111963.7</v>
      </c>
      <c r="BV9" s="286" t="s">
        <v>414</v>
      </c>
      <c r="BW9" s="286" t="s">
        <v>436</v>
      </c>
      <c r="BX9" s="286" t="s">
        <v>429</v>
      </c>
      <c r="BY9" s="286" t="s">
        <v>429</v>
      </c>
      <c r="BZ9" s="287">
        <v>0</v>
      </c>
      <c r="CA9" s="287">
        <v>0</v>
      </c>
      <c r="CB9" s="287">
        <v>0</v>
      </c>
      <c r="CC9" s="287">
        <f t="shared" si="24"/>
        <v>0</v>
      </c>
      <c r="CD9" s="287">
        <f t="shared" si="25"/>
        <v>0</v>
      </c>
      <c r="CE9" s="287">
        <f t="shared" si="26"/>
        <v>0</v>
      </c>
      <c r="CG9" s="286" t="s">
        <v>421</v>
      </c>
      <c r="CH9" s="286" t="s">
        <v>326</v>
      </c>
      <c r="CI9" s="286" t="s">
        <v>476</v>
      </c>
      <c r="CJ9" s="286" t="s">
        <v>592</v>
      </c>
      <c r="CK9" s="287">
        <v>28980487</v>
      </c>
      <c r="CL9" s="287">
        <f t="shared" si="27"/>
        <v>28980.487000000001</v>
      </c>
      <c r="CN9" s="286" t="s">
        <v>414</v>
      </c>
      <c r="CO9" s="286" t="s">
        <v>436</v>
      </c>
      <c r="CP9" s="286" t="s">
        <v>429</v>
      </c>
      <c r="CQ9" s="286" t="s">
        <v>429</v>
      </c>
      <c r="CR9" s="287">
        <v>0</v>
      </c>
      <c r="CS9" s="287">
        <v>0</v>
      </c>
      <c r="CT9" s="287">
        <v>0</v>
      </c>
      <c r="CU9" s="287">
        <f t="shared" si="28"/>
        <v>0</v>
      </c>
      <c r="CV9" s="287">
        <f t="shared" si="29"/>
        <v>0</v>
      </c>
      <c r="CW9" s="287">
        <f t="shared" si="30"/>
        <v>0</v>
      </c>
      <c r="CY9" s="286" t="s">
        <v>443</v>
      </c>
      <c r="CZ9" s="288" t="s">
        <v>444</v>
      </c>
      <c r="DA9" s="286" t="s">
        <v>429</v>
      </c>
      <c r="DB9" s="288" t="s">
        <v>429</v>
      </c>
      <c r="DC9" s="287">
        <v>38789558</v>
      </c>
      <c r="DD9" s="363">
        <f t="shared" si="31"/>
        <v>38789.557999999997</v>
      </c>
      <c r="DF9" s="286" t="s">
        <v>414</v>
      </c>
      <c r="DG9" s="288" t="s">
        <v>436</v>
      </c>
      <c r="DH9" s="286" t="s">
        <v>429</v>
      </c>
      <c r="DI9" s="288" t="s">
        <v>429</v>
      </c>
      <c r="DJ9" s="287">
        <v>0</v>
      </c>
      <c r="DK9" s="287">
        <v>0</v>
      </c>
      <c r="DL9" s="287">
        <v>0</v>
      </c>
      <c r="DM9" s="371">
        <f t="shared" si="32"/>
        <v>0</v>
      </c>
      <c r="DN9" s="371">
        <f t="shared" si="33"/>
        <v>0</v>
      </c>
      <c r="DO9" s="371">
        <f t="shared" si="34"/>
        <v>0</v>
      </c>
      <c r="DQ9" s="286" t="s">
        <v>443</v>
      </c>
      <c r="DR9" s="288" t="s">
        <v>444</v>
      </c>
      <c r="DS9" s="286" t="s">
        <v>429</v>
      </c>
      <c r="DT9" s="288" t="s">
        <v>429</v>
      </c>
      <c r="DU9" s="287">
        <v>19394779</v>
      </c>
      <c r="DV9" s="372">
        <f t="shared" si="35"/>
        <v>19394.778999999999</v>
      </c>
      <c r="DX9" s="286" t="s">
        <v>414</v>
      </c>
      <c r="DY9" s="288" t="s">
        <v>436</v>
      </c>
      <c r="DZ9" s="286" t="s">
        <v>639</v>
      </c>
      <c r="EA9" s="288" t="s">
        <v>640</v>
      </c>
      <c r="EB9" s="287">
        <v>0</v>
      </c>
      <c r="EC9" s="287">
        <v>43999456</v>
      </c>
      <c r="ED9" s="287">
        <v>25469456</v>
      </c>
      <c r="EE9" s="287">
        <f t="shared" si="36"/>
        <v>0</v>
      </c>
      <c r="EF9" s="287">
        <f t="shared" si="37"/>
        <v>43999.455999999998</v>
      </c>
      <c r="EG9" s="287">
        <f t="shared" si="38"/>
        <v>25469.455999999998</v>
      </c>
      <c r="EI9" s="286" t="s">
        <v>421</v>
      </c>
      <c r="EJ9" s="288" t="s">
        <v>326</v>
      </c>
      <c r="EK9" s="286" t="s">
        <v>442</v>
      </c>
      <c r="EL9" s="288" t="s">
        <v>593</v>
      </c>
      <c r="EM9" s="287">
        <v>11214000</v>
      </c>
      <c r="EN9" s="371">
        <f t="shared" si="39"/>
        <v>11214</v>
      </c>
      <c r="EQ9" s="286" t="s">
        <v>414</v>
      </c>
      <c r="ER9" s="288" t="s">
        <v>436</v>
      </c>
      <c r="ES9" s="286" t="s">
        <v>437</v>
      </c>
      <c r="ET9" s="286" t="s">
        <v>438</v>
      </c>
      <c r="EU9" s="287">
        <v>0</v>
      </c>
      <c r="EV9" s="287">
        <v>0</v>
      </c>
      <c r="EW9" s="287">
        <v>50000000</v>
      </c>
      <c r="EX9" s="376">
        <f t="shared" si="40"/>
        <v>0</v>
      </c>
      <c r="EY9" s="376">
        <f t="shared" si="41"/>
        <v>0</v>
      </c>
      <c r="EZ9" s="376">
        <f t="shared" si="42"/>
        <v>50000</v>
      </c>
      <c r="FB9" s="297" t="s">
        <v>443</v>
      </c>
      <c r="FC9" s="374" t="s">
        <v>444</v>
      </c>
      <c r="FD9" s="297" t="s">
        <v>429</v>
      </c>
      <c r="FE9" s="374" t="s">
        <v>429</v>
      </c>
      <c r="FF9" s="373">
        <v>0</v>
      </c>
      <c r="FG9" s="373">
        <v>0</v>
      </c>
      <c r="FH9" s="373">
        <v>19394779</v>
      </c>
      <c r="FI9" s="373">
        <f t="shared" si="4"/>
        <v>19394.778999999999</v>
      </c>
      <c r="FK9" s="297" t="s">
        <v>414</v>
      </c>
      <c r="FL9" s="297" t="s">
        <v>436</v>
      </c>
      <c r="FM9" s="297" t="s">
        <v>439</v>
      </c>
      <c r="FN9" s="297" t="s">
        <v>267</v>
      </c>
      <c r="FO9" s="372">
        <v>0</v>
      </c>
      <c r="FP9" s="372">
        <v>1158750000</v>
      </c>
      <c r="FQ9" s="372">
        <v>758013750</v>
      </c>
      <c r="FR9" s="372">
        <f t="shared" si="43"/>
        <v>0</v>
      </c>
      <c r="FS9" s="372">
        <f t="shared" si="5"/>
        <v>1158750</v>
      </c>
      <c r="FT9" s="372">
        <f t="shared" si="5"/>
        <v>758013.75</v>
      </c>
      <c r="FV9" s="286" t="s">
        <v>421</v>
      </c>
      <c r="FW9" s="286" t="s">
        <v>326</v>
      </c>
      <c r="FX9" s="286" t="s">
        <v>467</v>
      </c>
      <c r="FY9" s="286" t="s">
        <v>591</v>
      </c>
      <c r="FZ9" s="287">
        <v>140000000</v>
      </c>
      <c r="GA9" s="287">
        <f t="shared" si="44"/>
        <v>140000</v>
      </c>
      <c r="GC9" s="275" t="s">
        <v>414</v>
      </c>
      <c r="GD9" s="275" t="s">
        <v>436</v>
      </c>
      <c r="GE9" s="275" t="s">
        <v>429</v>
      </c>
      <c r="GF9" s="275" t="s">
        <v>429</v>
      </c>
      <c r="GG9" s="372">
        <v>0</v>
      </c>
      <c r="GH9" s="372">
        <v>0</v>
      </c>
      <c r="GI9" s="372">
        <v>0</v>
      </c>
      <c r="GJ9" s="372">
        <f t="shared" si="45"/>
        <v>0</v>
      </c>
      <c r="GK9" s="372">
        <f t="shared" si="46"/>
        <v>0</v>
      </c>
      <c r="GL9" s="372">
        <f t="shared" si="47"/>
        <v>0</v>
      </c>
      <c r="GN9" s="286" t="s">
        <v>417</v>
      </c>
      <c r="GO9" s="288" t="s">
        <v>299</v>
      </c>
      <c r="GP9" s="286" t="s">
        <v>418</v>
      </c>
      <c r="GQ9" s="286" t="s">
        <v>319</v>
      </c>
      <c r="GR9" s="287">
        <v>593034514</v>
      </c>
      <c r="GS9" s="491">
        <f t="shared" si="48"/>
        <v>593034.51399999997</v>
      </c>
      <c r="GU9" s="275" t="s">
        <v>414</v>
      </c>
      <c r="GV9" s="275" t="s">
        <v>436</v>
      </c>
      <c r="GW9" s="275" t="s">
        <v>639</v>
      </c>
      <c r="GX9" s="275" t="s">
        <v>640</v>
      </c>
      <c r="GY9" s="491">
        <v>0</v>
      </c>
      <c r="GZ9" s="491">
        <v>51688405</v>
      </c>
      <c r="HA9" s="491">
        <v>52997405</v>
      </c>
      <c r="HB9" s="305">
        <f t="shared" si="49"/>
        <v>0</v>
      </c>
      <c r="HC9" s="305">
        <f t="shared" si="50"/>
        <v>51688.404999999999</v>
      </c>
      <c r="HD9" s="305">
        <f t="shared" si="51"/>
        <v>52997.404999999999</v>
      </c>
    </row>
    <row r="10" spans="1:212" ht="15" customHeight="1" x14ac:dyDescent="0.2">
      <c r="A10" s="286" t="s">
        <v>417</v>
      </c>
      <c r="B10" s="286" t="s">
        <v>299</v>
      </c>
      <c r="C10" s="286" t="s">
        <v>418</v>
      </c>
      <c r="D10" s="286" t="s">
        <v>319</v>
      </c>
      <c r="E10" s="287">
        <v>1954009000</v>
      </c>
      <c r="F10" s="287">
        <v>0</v>
      </c>
      <c r="G10" s="287">
        <v>0</v>
      </c>
      <c r="H10" s="371">
        <f t="shared" si="8"/>
        <v>2036077.378</v>
      </c>
      <c r="I10" s="371">
        <f t="shared" si="9"/>
        <v>0</v>
      </c>
      <c r="J10" s="371">
        <f t="shared" si="10"/>
        <v>0</v>
      </c>
      <c r="L10" s="359" t="s">
        <v>445</v>
      </c>
      <c r="M10" s="360" t="s">
        <v>446</v>
      </c>
      <c r="N10" s="359" t="s">
        <v>429</v>
      </c>
      <c r="O10" s="360" t="s">
        <v>429</v>
      </c>
      <c r="P10" s="361">
        <v>5550000</v>
      </c>
      <c r="Q10" s="361">
        <f t="shared" si="11"/>
        <v>5783.1</v>
      </c>
      <c r="S10" s="286" t="s">
        <v>417</v>
      </c>
      <c r="T10" s="288" t="s">
        <v>299</v>
      </c>
      <c r="U10" s="286" t="s">
        <v>418</v>
      </c>
      <c r="V10" s="288" t="s">
        <v>319</v>
      </c>
      <c r="W10" s="287">
        <v>1954009000</v>
      </c>
      <c r="X10" s="287">
        <v>0</v>
      </c>
      <c r="Y10" s="287">
        <v>0</v>
      </c>
      <c r="Z10" s="361">
        <f t="shared" si="12"/>
        <v>2036077.378</v>
      </c>
      <c r="AA10" s="361">
        <f t="shared" si="13"/>
        <v>0</v>
      </c>
      <c r="AB10" s="361">
        <f t="shared" si="14"/>
        <v>0</v>
      </c>
      <c r="AD10" s="286" t="s">
        <v>445</v>
      </c>
      <c r="AE10" s="286" t="s">
        <v>446</v>
      </c>
      <c r="AF10" s="286" t="s">
        <v>429</v>
      </c>
      <c r="AG10" s="288" t="s">
        <v>429</v>
      </c>
      <c r="AH10" s="287">
        <v>15943098</v>
      </c>
      <c r="AI10" s="287">
        <f t="shared" si="15"/>
        <v>15943.098</v>
      </c>
      <c r="AK10" s="286" t="s">
        <v>417</v>
      </c>
      <c r="AL10" s="286" t="s">
        <v>299</v>
      </c>
      <c r="AM10" s="286" t="s">
        <v>418</v>
      </c>
      <c r="AN10" s="286" t="s">
        <v>319</v>
      </c>
      <c r="AO10" s="287">
        <v>1954009000</v>
      </c>
      <c r="AP10" s="287">
        <v>0</v>
      </c>
      <c r="AQ10" s="287">
        <v>0</v>
      </c>
      <c r="AR10" s="287">
        <f t="shared" si="16"/>
        <v>1954009</v>
      </c>
      <c r="AS10" s="287">
        <f t="shared" si="17"/>
        <v>0</v>
      </c>
      <c r="AT10" s="287">
        <f t="shared" si="18"/>
        <v>0</v>
      </c>
      <c r="AV10" s="286" t="s">
        <v>443</v>
      </c>
      <c r="AW10" s="286" t="s">
        <v>444</v>
      </c>
      <c r="AX10" s="286" t="s">
        <v>429</v>
      </c>
      <c r="AY10" s="286" t="s">
        <v>429</v>
      </c>
      <c r="AZ10" s="287">
        <v>58184337</v>
      </c>
      <c r="BA10" s="372">
        <f t="shared" si="19"/>
        <v>58184.337</v>
      </c>
      <c r="BC10" s="286" t="s">
        <v>417</v>
      </c>
      <c r="BD10" s="286" t="s">
        <v>299</v>
      </c>
      <c r="BE10" s="286" t="s">
        <v>418</v>
      </c>
      <c r="BF10" s="286" t="s">
        <v>319</v>
      </c>
      <c r="BG10" s="287">
        <v>1954009000</v>
      </c>
      <c r="BH10" s="287">
        <v>0</v>
      </c>
      <c r="BI10" s="287">
        <v>0</v>
      </c>
      <c r="BJ10" s="372">
        <f t="shared" si="20"/>
        <v>1954009</v>
      </c>
      <c r="BK10" s="372">
        <f t="shared" si="21"/>
        <v>0</v>
      </c>
      <c r="BL10" s="372">
        <f t="shared" si="22"/>
        <v>0</v>
      </c>
      <c r="BN10" s="286" t="s">
        <v>421</v>
      </c>
      <c r="BO10" s="286" t="s">
        <v>326</v>
      </c>
      <c r="BP10" s="286" t="s">
        <v>442</v>
      </c>
      <c r="BQ10" s="286" t="s">
        <v>593</v>
      </c>
      <c r="BR10" s="287">
        <v>5000000</v>
      </c>
      <c r="BS10" s="287">
        <f t="shared" si="23"/>
        <v>5000</v>
      </c>
      <c r="BV10" s="286" t="s">
        <v>417</v>
      </c>
      <c r="BW10" s="286" t="s">
        <v>299</v>
      </c>
      <c r="BX10" s="286" t="s">
        <v>418</v>
      </c>
      <c r="BY10" s="286" t="s">
        <v>319</v>
      </c>
      <c r="BZ10" s="287">
        <v>2204009000</v>
      </c>
      <c r="CA10" s="287">
        <v>0</v>
      </c>
      <c r="CB10" s="287">
        <v>0</v>
      </c>
      <c r="CC10" s="287">
        <f t="shared" si="24"/>
        <v>2204009</v>
      </c>
      <c r="CD10" s="287">
        <f t="shared" si="25"/>
        <v>0</v>
      </c>
      <c r="CE10" s="287">
        <f t="shared" si="26"/>
        <v>0</v>
      </c>
      <c r="CG10" s="286" t="s">
        <v>445</v>
      </c>
      <c r="CH10" s="286" t="s">
        <v>446</v>
      </c>
      <c r="CI10" s="286" t="s">
        <v>429</v>
      </c>
      <c r="CJ10" s="286" t="s">
        <v>429</v>
      </c>
      <c r="CK10" s="287">
        <v>15413800</v>
      </c>
      <c r="CL10" s="287">
        <f t="shared" si="27"/>
        <v>15413.8</v>
      </c>
      <c r="CN10" s="286" t="s">
        <v>417</v>
      </c>
      <c r="CO10" s="286" t="s">
        <v>299</v>
      </c>
      <c r="CP10" s="286" t="s">
        <v>418</v>
      </c>
      <c r="CQ10" s="286" t="s">
        <v>319</v>
      </c>
      <c r="CR10" s="287">
        <v>2204009000</v>
      </c>
      <c r="CS10" s="287">
        <v>0</v>
      </c>
      <c r="CT10" s="287">
        <v>0</v>
      </c>
      <c r="CU10" s="287">
        <f t="shared" si="28"/>
        <v>2204009</v>
      </c>
      <c r="CV10" s="287">
        <f t="shared" si="29"/>
        <v>0</v>
      </c>
      <c r="CW10" s="287">
        <f t="shared" si="30"/>
        <v>0</v>
      </c>
      <c r="CY10" s="286" t="s">
        <v>445</v>
      </c>
      <c r="CZ10" s="288" t="s">
        <v>446</v>
      </c>
      <c r="DA10" s="286" t="s">
        <v>429</v>
      </c>
      <c r="DB10" s="288" t="s">
        <v>429</v>
      </c>
      <c r="DC10" s="287">
        <v>29521712</v>
      </c>
      <c r="DD10" s="363">
        <f t="shared" si="31"/>
        <v>29521.712</v>
      </c>
      <c r="DF10" s="286" t="s">
        <v>417</v>
      </c>
      <c r="DG10" s="288" t="s">
        <v>299</v>
      </c>
      <c r="DH10" s="286" t="s">
        <v>418</v>
      </c>
      <c r="DI10" s="288" t="s">
        <v>319</v>
      </c>
      <c r="DJ10" s="287">
        <v>2341009000</v>
      </c>
      <c r="DK10" s="287">
        <v>0</v>
      </c>
      <c r="DL10" s="287">
        <v>0</v>
      </c>
      <c r="DM10" s="371">
        <f t="shared" si="32"/>
        <v>2341009</v>
      </c>
      <c r="DN10" s="371">
        <f t="shared" si="33"/>
        <v>0</v>
      </c>
      <c r="DO10" s="371">
        <f t="shared" si="34"/>
        <v>0</v>
      </c>
      <c r="DQ10" s="286" t="s">
        <v>445</v>
      </c>
      <c r="DR10" s="288" t="s">
        <v>446</v>
      </c>
      <c r="DS10" s="286" t="s">
        <v>429</v>
      </c>
      <c r="DT10" s="288" t="s">
        <v>429</v>
      </c>
      <c r="DU10" s="287">
        <v>13195513</v>
      </c>
      <c r="DV10" s="372">
        <f t="shared" si="35"/>
        <v>13195.513000000001</v>
      </c>
      <c r="DX10" s="286" t="s">
        <v>414</v>
      </c>
      <c r="DY10" s="288" t="s">
        <v>436</v>
      </c>
      <c r="DZ10" s="286" t="s">
        <v>437</v>
      </c>
      <c r="EA10" s="288" t="s">
        <v>438</v>
      </c>
      <c r="EB10" s="287">
        <v>0</v>
      </c>
      <c r="EC10" s="287">
        <v>50000000</v>
      </c>
      <c r="ED10" s="287">
        <v>0</v>
      </c>
      <c r="EE10" s="287">
        <f t="shared" si="36"/>
        <v>0</v>
      </c>
      <c r="EF10" s="287">
        <f t="shared" si="37"/>
        <v>50000</v>
      </c>
      <c r="EG10" s="287">
        <f t="shared" si="38"/>
        <v>0</v>
      </c>
      <c r="EI10" s="286" t="s">
        <v>445</v>
      </c>
      <c r="EJ10" s="288" t="s">
        <v>446</v>
      </c>
      <c r="EK10" s="286" t="s">
        <v>429</v>
      </c>
      <c r="EL10" s="288" t="s">
        <v>429</v>
      </c>
      <c r="EM10" s="287">
        <v>15601513</v>
      </c>
      <c r="EN10" s="371">
        <f t="shared" si="39"/>
        <v>15601.513000000001</v>
      </c>
      <c r="EQ10" s="286" t="s">
        <v>414</v>
      </c>
      <c r="ER10" s="288" t="s">
        <v>436</v>
      </c>
      <c r="ES10" s="286" t="s">
        <v>439</v>
      </c>
      <c r="ET10" s="286" t="s">
        <v>267</v>
      </c>
      <c r="EU10" s="287">
        <v>0</v>
      </c>
      <c r="EV10" s="287">
        <v>737013750</v>
      </c>
      <c r="EW10" s="287">
        <v>1086727500</v>
      </c>
      <c r="EX10" s="376">
        <f t="shared" si="40"/>
        <v>0</v>
      </c>
      <c r="EY10" s="376">
        <f t="shared" si="41"/>
        <v>737013.75</v>
      </c>
      <c r="EZ10" s="376">
        <f t="shared" si="42"/>
        <v>1086727.5</v>
      </c>
      <c r="FB10" s="297" t="s">
        <v>445</v>
      </c>
      <c r="FC10" s="374" t="s">
        <v>446</v>
      </c>
      <c r="FD10" s="297" t="s">
        <v>429</v>
      </c>
      <c r="FE10" s="374" t="s">
        <v>429</v>
      </c>
      <c r="FF10" s="373">
        <v>0</v>
      </c>
      <c r="FG10" s="373">
        <v>0</v>
      </c>
      <c r="FH10" s="373">
        <v>29381177</v>
      </c>
      <c r="FI10" s="373">
        <f t="shared" si="4"/>
        <v>29381.177</v>
      </c>
      <c r="FK10" s="297" t="s">
        <v>414</v>
      </c>
      <c r="FL10" s="297" t="s">
        <v>436</v>
      </c>
      <c r="FM10" s="297" t="s">
        <v>429</v>
      </c>
      <c r="FN10" s="297" t="s">
        <v>429</v>
      </c>
      <c r="FO10" s="372">
        <v>0</v>
      </c>
      <c r="FP10" s="372">
        <v>0</v>
      </c>
      <c r="FQ10" s="372">
        <v>0</v>
      </c>
      <c r="FR10" s="372">
        <f t="shared" si="43"/>
        <v>0</v>
      </c>
      <c r="FS10" s="372">
        <f t="shared" si="5"/>
        <v>0</v>
      </c>
      <c r="FT10" s="372">
        <f t="shared" si="5"/>
        <v>0</v>
      </c>
      <c r="FV10" s="286" t="s">
        <v>443</v>
      </c>
      <c r="FW10" s="286" t="s">
        <v>444</v>
      </c>
      <c r="FX10" s="286" t="s">
        <v>429</v>
      </c>
      <c r="FY10" s="286" t="s">
        <v>429</v>
      </c>
      <c r="FZ10" s="287">
        <v>19394779</v>
      </c>
      <c r="GA10" s="287">
        <f t="shared" si="44"/>
        <v>19394.778999999999</v>
      </c>
      <c r="GC10" s="275" t="s">
        <v>414</v>
      </c>
      <c r="GD10" s="275" t="s">
        <v>436</v>
      </c>
      <c r="GE10" s="275" t="s">
        <v>415</v>
      </c>
      <c r="GF10" s="275" t="s">
        <v>416</v>
      </c>
      <c r="GG10" s="372">
        <v>0</v>
      </c>
      <c r="GH10" s="372">
        <v>234751472</v>
      </c>
      <c r="GI10" s="372">
        <v>0</v>
      </c>
      <c r="GJ10" s="372">
        <f t="shared" si="45"/>
        <v>0</v>
      </c>
      <c r="GK10" s="372">
        <f t="shared" si="46"/>
        <v>234751.47200000001</v>
      </c>
      <c r="GL10" s="372">
        <f t="shared" si="47"/>
        <v>0</v>
      </c>
      <c r="GN10" s="286" t="s">
        <v>417</v>
      </c>
      <c r="GO10" s="288" t="s">
        <v>299</v>
      </c>
      <c r="GP10" s="286" t="s">
        <v>419</v>
      </c>
      <c r="GQ10" s="286" t="s">
        <v>330</v>
      </c>
      <c r="GR10" s="287">
        <v>51263561</v>
      </c>
      <c r="GS10" s="491">
        <f t="shared" si="48"/>
        <v>51263.561000000002</v>
      </c>
      <c r="GU10" s="275" t="s">
        <v>414</v>
      </c>
      <c r="GV10" s="275" t="s">
        <v>436</v>
      </c>
      <c r="GW10" s="275" t="s">
        <v>415</v>
      </c>
      <c r="GX10" s="275" t="s">
        <v>416</v>
      </c>
      <c r="GY10" s="491">
        <v>0</v>
      </c>
      <c r="GZ10" s="491">
        <v>234751472</v>
      </c>
      <c r="HA10" s="491">
        <v>234751472</v>
      </c>
      <c r="HB10" s="305">
        <f t="shared" si="49"/>
        <v>0</v>
      </c>
      <c r="HC10" s="305">
        <f t="shared" si="50"/>
        <v>234751.47200000001</v>
      </c>
      <c r="HD10" s="305">
        <f t="shared" si="51"/>
        <v>234751.47200000001</v>
      </c>
    </row>
    <row r="11" spans="1:212" ht="15" customHeight="1" x14ac:dyDescent="0.2">
      <c r="A11" s="286" t="s">
        <v>417</v>
      </c>
      <c r="B11" s="286" t="s">
        <v>299</v>
      </c>
      <c r="C11" s="286" t="s">
        <v>419</v>
      </c>
      <c r="D11" s="286" t="s">
        <v>330</v>
      </c>
      <c r="E11" s="287">
        <v>583665000</v>
      </c>
      <c r="F11" s="287">
        <v>0</v>
      </c>
      <c r="G11" s="287">
        <v>0</v>
      </c>
      <c r="H11" s="371">
        <f t="shared" si="8"/>
        <v>608178.93000000005</v>
      </c>
      <c r="I11" s="371">
        <f t="shared" si="9"/>
        <v>0</v>
      </c>
      <c r="J11" s="371">
        <f t="shared" si="10"/>
        <v>0</v>
      </c>
      <c r="S11" s="286" t="s">
        <v>417</v>
      </c>
      <c r="T11" s="288" t="s">
        <v>299</v>
      </c>
      <c r="U11" s="286" t="s">
        <v>419</v>
      </c>
      <c r="V11" s="288" t="s">
        <v>330</v>
      </c>
      <c r="W11" s="287">
        <v>583665000</v>
      </c>
      <c r="X11" s="287">
        <v>0</v>
      </c>
      <c r="Y11" s="287">
        <v>0</v>
      </c>
      <c r="Z11" s="361">
        <f t="shared" si="12"/>
        <v>608178.93000000005</v>
      </c>
      <c r="AA11" s="361">
        <f t="shared" si="13"/>
        <v>0</v>
      </c>
      <c r="AB11" s="361">
        <f t="shared" si="14"/>
        <v>0</v>
      </c>
      <c r="AK11" s="286" t="s">
        <v>417</v>
      </c>
      <c r="AL11" s="286" t="s">
        <v>299</v>
      </c>
      <c r="AM11" s="286" t="s">
        <v>419</v>
      </c>
      <c r="AN11" s="286" t="s">
        <v>330</v>
      </c>
      <c r="AO11" s="287">
        <v>583665000</v>
      </c>
      <c r="AP11" s="287">
        <v>0</v>
      </c>
      <c r="AQ11" s="287">
        <v>0</v>
      </c>
      <c r="AR11" s="287">
        <f t="shared" si="16"/>
        <v>583665</v>
      </c>
      <c r="AS11" s="287">
        <f t="shared" si="17"/>
        <v>0</v>
      </c>
      <c r="AT11" s="287">
        <f t="shared" si="18"/>
        <v>0</v>
      </c>
      <c r="AV11" s="286" t="s">
        <v>445</v>
      </c>
      <c r="AW11" s="286" t="s">
        <v>446</v>
      </c>
      <c r="AX11" s="286" t="s">
        <v>429</v>
      </c>
      <c r="AY11" s="286" t="s">
        <v>429</v>
      </c>
      <c r="AZ11" s="287">
        <v>20298443</v>
      </c>
      <c r="BA11" s="372">
        <f t="shared" si="19"/>
        <v>20298.442999999999</v>
      </c>
      <c r="BC11" s="286" t="s">
        <v>417</v>
      </c>
      <c r="BD11" s="286" t="s">
        <v>299</v>
      </c>
      <c r="BE11" s="286" t="s">
        <v>419</v>
      </c>
      <c r="BF11" s="286" t="s">
        <v>330</v>
      </c>
      <c r="BG11" s="287">
        <v>583665000</v>
      </c>
      <c r="BH11" s="287">
        <v>0</v>
      </c>
      <c r="BI11" s="287">
        <v>0</v>
      </c>
      <c r="BJ11" s="372">
        <f t="shared" si="20"/>
        <v>583665</v>
      </c>
      <c r="BK11" s="372">
        <f t="shared" si="21"/>
        <v>0</v>
      </c>
      <c r="BL11" s="372">
        <f t="shared" si="22"/>
        <v>0</v>
      </c>
      <c r="BN11" s="286" t="s">
        <v>443</v>
      </c>
      <c r="BO11" s="286" t="s">
        <v>444</v>
      </c>
      <c r="BP11" s="286" t="s">
        <v>429</v>
      </c>
      <c r="BQ11" s="286" t="s">
        <v>429</v>
      </c>
      <c r="BR11" s="287">
        <v>46975503</v>
      </c>
      <c r="BS11" s="287">
        <f t="shared" si="23"/>
        <v>46975.502999999997</v>
      </c>
      <c r="BV11" s="286" t="s">
        <v>417</v>
      </c>
      <c r="BW11" s="286" t="s">
        <v>299</v>
      </c>
      <c r="BX11" s="286" t="s">
        <v>419</v>
      </c>
      <c r="BY11" s="286" t="s">
        <v>330</v>
      </c>
      <c r="BZ11" s="287">
        <v>333665000</v>
      </c>
      <c r="CA11" s="287">
        <v>0</v>
      </c>
      <c r="CB11" s="287">
        <v>0</v>
      </c>
      <c r="CC11" s="287">
        <f t="shared" si="24"/>
        <v>333665</v>
      </c>
      <c r="CD11" s="287">
        <f t="shared" si="25"/>
        <v>0</v>
      </c>
      <c r="CE11" s="287">
        <f t="shared" si="26"/>
        <v>0</v>
      </c>
      <c r="CG11" s="286" t="s">
        <v>504</v>
      </c>
      <c r="CH11" s="286" t="s">
        <v>507</v>
      </c>
      <c r="CI11" s="286" t="s">
        <v>429</v>
      </c>
      <c r="CJ11" s="286" t="s">
        <v>429</v>
      </c>
      <c r="CK11" s="287">
        <v>20991600</v>
      </c>
      <c r="CL11" s="287">
        <f t="shared" si="27"/>
        <v>20991.599999999999</v>
      </c>
      <c r="CN11" s="286" t="s">
        <v>417</v>
      </c>
      <c r="CO11" s="286" t="s">
        <v>299</v>
      </c>
      <c r="CP11" s="286" t="s">
        <v>419</v>
      </c>
      <c r="CQ11" s="286" t="s">
        <v>330</v>
      </c>
      <c r="CR11" s="287">
        <v>333665000</v>
      </c>
      <c r="CS11" s="287">
        <v>0</v>
      </c>
      <c r="CT11" s="287">
        <v>0</v>
      </c>
      <c r="CU11" s="287">
        <f t="shared" si="28"/>
        <v>333665</v>
      </c>
      <c r="CV11" s="287">
        <f t="shared" si="29"/>
        <v>0</v>
      </c>
      <c r="CW11" s="287">
        <f t="shared" si="30"/>
        <v>0</v>
      </c>
      <c r="CY11" s="286" t="s">
        <v>614</v>
      </c>
      <c r="CZ11" s="288" t="s">
        <v>615</v>
      </c>
      <c r="DA11" s="286" t="s">
        <v>429</v>
      </c>
      <c r="DB11" s="288" t="s">
        <v>429</v>
      </c>
      <c r="DC11" s="287">
        <v>2598749</v>
      </c>
      <c r="DD11" s="363">
        <f t="shared" si="31"/>
        <v>2598.7489999999998</v>
      </c>
      <c r="DF11" s="286" t="s">
        <v>417</v>
      </c>
      <c r="DG11" s="288" t="s">
        <v>299</v>
      </c>
      <c r="DH11" s="286" t="s">
        <v>419</v>
      </c>
      <c r="DI11" s="288" t="s">
        <v>330</v>
      </c>
      <c r="DJ11" s="287">
        <v>216665000</v>
      </c>
      <c r="DK11" s="287">
        <v>0</v>
      </c>
      <c r="DL11" s="287">
        <v>0</v>
      </c>
      <c r="DM11" s="371">
        <f t="shared" si="32"/>
        <v>216665</v>
      </c>
      <c r="DN11" s="371">
        <f t="shared" si="33"/>
        <v>0</v>
      </c>
      <c r="DO11" s="371">
        <f t="shared" si="34"/>
        <v>0</v>
      </c>
      <c r="DQ11" s="286" t="s">
        <v>504</v>
      </c>
      <c r="DR11" s="288" t="s">
        <v>507</v>
      </c>
      <c r="DS11" s="286" t="s">
        <v>429</v>
      </c>
      <c r="DT11" s="288" t="s">
        <v>429</v>
      </c>
      <c r="DU11" s="287">
        <v>41983200</v>
      </c>
      <c r="DV11" s="372">
        <f t="shared" si="35"/>
        <v>41983.199999999997</v>
      </c>
      <c r="DX11" s="286" t="s">
        <v>417</v>
      </c>
      <c r="DY11" s="288" t="s">
        <v>299</v>
      </c>
      <c r="DZ11" s="286" t="s">
        <v>418</v>
      </c>
      <c r="EA11" s="288" t="s">
        <v>319</v>
      </c>
      <c r="EB11" s="287">
        <v>2341009000</v>
      </c>
      <c r="EC11" s="287">
        <v>0</v>
      </c>
      <c r="ED11" s="287">
        <v>0</v>
      </c>
      <c r="EE11" s="287">
        <f t="shared" si="36"/>
        <v>2341009</v>
      </c>
      <c r="EF11" s="287">
        <f t="shared" si="37"/>
        <v>0</v>
      </c>
      <c r="EG11" s="287">
        <f t="shared" si="38"/>
        <v>0</v>
      </c>
      <c r="EI11" s="286" t="s">
        <v>504</v>
      </c>
      <c r="EJ11" s="288" t="s">
        <v>507</v>
      </c>
      <c r="EK11" s="286" t="s">
        <v>429</v>
      </c>
      <c r="EL11" s="288" t="s">
        <v>429</v>
      </c>
      <c r="EM11" s="287">
        <v>20991600</v>
      </c>
      <c r="EN11" s="371">
        <f t="shared" si="39"/>
        <v>20991.599999999999</v>
      </c>
      <c r="EQ11" s="286" t="s">
        <v>417</v>
      </c>
      <c r="ER11" s="288" t="s">
        <v>299</v>
      </c>
      <c r="ES11" s="286" t="s">
        <v>418</v>
      </c>
      <c r="ET11" s="286" t="s">
        <v>319</v>
      </c>
      <c r="EU11" s="287">
        <v>2341009000</v>
      </c>
      <c r="EV11" s="287">
        <v>0</v>
      </c>
      <c r="EW11" s="287">
        <v>0</v>
      </c>
      <c r="EX11" s="376">
        <f t="shared" si="40"/>
        <v>2341009</v>
      </c>
      <c r="EY11" s="376">
        <f t="shared" si="41"/>
        <v>0</v>
      </c>
      <c r="EZ11" s="376">
        <f t="shared" si="42"/>
        <v>0</v>
      </c>
      <c r="FB11" s="297" t="s">
        <v>504</v>
      </c>
      <c r="FC11" s="374" t="s">
        <v>507</v>
      </c>
      <c r="FD11" s="297" t="s">
        <v>429</v>
      </c>
      <c r="FE11" s="374" t="s">
        <v>429</v>
      </c>
      <c r="FF11" s="373">
        <v>0</v>
      </c>
      <c r="FG11" s="373">
        <v>0</v>
      </c>
      <c r="FH11" s="373">
        <v>20991600</v>
      </c>
      <c r="FI11" s="373">
        <f t="shared" si="4"/>
        <v>20991.599999999999</v>
      </c>
      <c r="FK11" s="297" t="s">
        <v>417</v>
      </c>
      <c r="FL11" s="297" t="s">
        <v>299</v>
      </c>
      <c r="FM11" s="297" t="s">
        <v>418</v>
      </c>
      <c r="FN11" s="297" t="s">
        <v>319</v>
      </c>
      <c r="FO11" s="372">
        <v>2341009000</v>
      </c>
      <c r="FP11" s="372">
        <v>0</v>
      </c>
      <c r="FQ11" s="372">
        <v>0</v>
      </c>
      <c r="FR11" s="372">
        <f t="shared" si="43"/>
        <v>2341009</v>
      </c>
      <c r="FS11" s="372">
        <f t="shared" si="5"/>
        <v>0</v>
      </c>
      <c r="FT11" s="372">
        <f t="shared" si="5"/>
        <v>0</v>
      </c>
      <c r="FV11" s="286" t="s">
        <v>445</v>
      </c>
      <c r="FW11" s="286" t="s">
        <v>446</v>
      </c>
      <c r="FX11" s="286" t="s">
        <v>429</v>
      </c>
      <c r="FY11" s="286" t="s">
        <v>429</v>
      </c>
      <c r="FZ11" s="287">
        <v>7426309</v>
      </c>
      <c r="GA11" s="287">
        <f t="shared" si="44"/>
        <v>7426.3090000000002</v>
      </c>
      <c r="GC11" s="275" t="s">
        <v>414</v>
      </c>
      <c r="GD11" s="275" t="s">
        <v>436</v>
      </c>
      <c r="GE11" s="275" t="s">
        <v>639</v>
      </c>
      <c r="GF11" s="275" t="s">
        <v>640</v>
      </c>
      <c r="GG11" s="372">
        <v>0</v>
      </c>
      <c r="GH11" s="372">
        <v>49363679</v>
      </c>
      <c r="GI11" s="372">
        <v>34163679</v>
      </c>
      <c r="GJ11" s="372">
        <f t="shared" si="45"/>
        <v>0</v>
      </c>
      <c r="GK11" s="372">
        <f t="shared" si="46"/>
        <v>49363.678999999996</v>
      </c>
      <c r="GL11" s="372">
        <f t="shared" si="47"/>
        <v>34163.678999999996</v>
      </c>
      <c r="GN11" s="286" t="s">
        <v>483</v>
      </c>
      <c r="GO11" s="288" t="s">
        <v>498</v>
      </c>
      <c r="GP11" s="286" t="s">
        <v>429</v>
      </c>
      <c r="GQ11" s="286" t="s">
        <v>429</v>
      </c>
      <c r="GR11" s="287">
        <v>17434690</v>
      </c>
      <c r="GS11" s="491">
        <f t="shared" si="48"/>
        <v>17434.689999999999</v>
      </c>
      <c r="GU11" s="275" t="s">
        <v>414</v>
      </c>
      <c r="GV11" s="275" t="s">
        <v>436</v>
      </c>
      <c r="GW11" s="275" t="s">
        <v>429</v>
      </c>
      <c r="GX11" s="275" t="s">
        <v>429</v>
      </c>
      <c r="GY11" s="491">
        <v>0</v>
      </c>
      <c r="GZ11" s="491">
        <v>0</v>
      </c>
      <c r="HA11" s="491">
        <v>0</v>
      </c>
      <c r="HB11" s="305">
        <f t="shared" si="49"/>
        <v>0</v>
      </c>
      <c r="HC11" s="305">
        <f t="shared" si="50"/>
        <v>0</v>
      </c>
      <c r="HD11" s="305">
        <f t="shared" si="51"/>
        <v>0</v>
      </c>
    </row>
    <row r="12" spans="1:212" ht="15" customHeight="1" x14ac:dyDescent="0.2">
      <c r="A12" s="286" t="s">
        <v>417</v>
      </c>
      <c r="B12" s="286" t="s">
        <v>299</v>
      </c>
      <c r="C12" s="286" t="s">
        <v>441</v>
      </c>
      <c r="D12" s="286" t="s">
        <v>322</v>
      </c>
      <c r="E12" s="287">
        <v>62915000</v>
      </c>
      <c r="F12" s="287">
        <v>0</v>
      </c>
      <c r="G12" s="287">
        <v>0</v>
      </c>
      <c r="H12" s="371">
        <f t="shared" si="8"/>
        <v>65557.430000000008</v>
      </c>
      <c r="I12" s="371">
        <f t="shared" si="9"/>
        <v>0</v>
      </c>
      <c r="J12" s="371">
        <f t="shared" si="10"/>
        <v>0</v>
      </c>
      <c r="S12" s="286" t="s">
        <v>417</v>
      </c>
      <c r="T12" s="288" t="s">
        <v>299</v>
      </c>
      <c r="U12" s="286" t="s">
        <v>441</v>
      </c>
      <c r="V12" s="288" t="s">
        <v>322</v>
      </c>
      <c r="W12" s="287">
        <v>62915000</v>
      </c>
      <c r="X12" s="287">
        <v>0</v>
      </c>
      <c r="Y12" s="287">
        <v>0</v>
      </c>
      <c r="Z12" s="361">
        <f t="shared" si="12"/>
        <v>65557.430000000008</v>
      </c>
      <c r="AA12" s="361">
        <f t="shared" si="13"/>
        <v>0</v>
      </c>
      <c r="AB12" s="361">
        <f t="shared" si="14"/>
        <v>0</v>
      </c>
      <c r="AK12" s="286" t="s">
        <v>417</v>
      </c>
      <c r="AL12" s="286" t="s">
        <v>299</v>
      </c>
      <c r="AM12" s="286" t="s">
        <v>441</v>
      </c>
      <c r="AN12" s="286" t="s">
        <v>322</v>
      </c>
      <c r="AO12" s="287">
        <v>62915000</v>
      </c>
      <c r="AP12" s="287">
        <v>0</v>
      </c>
      <c r="AQ12" s="287">
        <v>0</v>
      </c>
      <c r="AR12" s="287">
        <f t="shared" si="16"/>
        <v>62915</v>
      </c>
      <c r="AS12" s="287">
        <f t="shared" si="17"/>
        <v>0</v>
      </c>
      <c r="AT12" s="287">
        <f t="shared" si="18"/>
        <v>0</v>
      </c>
      <c r="AV12" s="286" t="s">
        <v>614</v>
      </c>
      <c r="AW12" s="286" t="s">
        <v>615</v>
      </c>
      <c r="AX12" s="286" t="s">
        <v>429</v>
      </c>
      <c r="AY12" s="286" t="s">
        <v>429</v>
      </c>
      <c r="AZ12" s="287">
        <v>2598750</v>
      </c>
      <c r="BA12" s="372">
        <f t="shared" si="19"/>
        <v>2598.75</v>
      </c>
      <c r="BC12" s="286" t="s">
        <v>417</v>
      </c>
      <c r="BD12" s="286" t="s">
        <v>299</v>
      </c>
      <c r="BE12" s="286" t="s">
        <v>441</v>
      </c>
      <c r="BF12" s="286" t="s">
        <v>322</v>
      </c>
      <c r="BG12" s="287">
        <v>62915000</v>
      </c>
      <c r="BH12" s="287">
        <v>0</v>
      </c>
      <c r="BI12" s="287">
        <v>0</v>
      </c>
      <c r="BJ12" s="372">
        <f t="shared" si="20"/>
        <v>62915</v>
      </c>
      <c r="BK12" s="372">
        <f t="shared" si="21"/>
        <v>0</v>
      </c>
      <c r="BL12" s="372">
        <f t="shared" si="22"/>
        <v>0</v>
      </c>
      <c r="BN12" s="286" t="s">
        <v>445</v>
      </c>
      <c r="BO12" s="286" t="s">
        <v>446</v>
      </c>
      <c r="BP12" s="286" t="s">
        <v>429</v>
      </c>
      <c r="BQ12" s="286" t="s">
        <v>429</v>
      </c>
      <c r="BR12" s="287">
        <v>5314366</v>
      </c>
      <c r="BS12" s="287">
        <f t="shared" si="23"/>
        <v>5314.366</v>
      </c>
      <c r="BV12" s="286" t="s">
        <v>417</v>
      </c>
      <c r="BW12" s="286" t="s">
        <v>299</v>
      </c>
      <c r="BX12" s="286" t="s">
        <v>441</v>
      </c>
      <c r="BY12" s="286" t="s">
        <v>322</v>
      </c>
      <c r="BZ12" s="287">
        <v>62915000</v>
      </c>
      <c r="CA12" s="287">
        <v>0</v>
      </c>
      <c r="CB12" s="287">
        <v>0</v>
      </c>
      <c r="CC12" s="287">
        <f t="shared" si="24"/>
        <v>62915</v>
      </c>
      <c r="CD12" s="287">
        <f t="shared" si="25"/>
        <v>0</v>
      </c>
      <c r="CE12" s="287">
        <f t="shared" si="26"/>
        <v>0</v>
      </c>
      <c r="CG12" s="286" t="s">
        <v>614</v>
      </c>
      <c r="CH12" s="286" t="s">
        <v>615</v>
      </c>
      <c r="CI12" s="286" t="s">
        <v>429</v>
      </c>
      <c r="CJ12" s="286" t="s">
        <v>429</v>
      </c>
      <c r="CK12" s="287">
        <v>5197500</v>
      </c>
      <c r="CL12" s="287">
        <f t="shared" si="27"/>
        <v>5197.5</v>
      </c>
      <c r="CN12" s="286" t="s">
        <v>417</v>
      </c>
      <c r="CO12" s="286" t="s">
        <v>299</v>
      </c>
      <c r="CP12" s="286" t="s">
        <v>441</v>
      </c>
      <c r="CQ12" s="286" t="s">
        <v>322</v>
      </c>
      <c r="CR12" s="287">
        <v>62915000</v>
      </c>
      <c r="CS12" s="287">
        <v>0</v>
      </c>
      <c r="CT12" s="287">
        <v>0</v>
      </c>
      <c r="CU12" s="287">
        <f t="shared" si="28"/>
        <v>62915</v>
      </c>
      <c r="CV12" s="287">
        <f t="shared" si="29"/>
        <v>0</v>
      </c>
      <c r="CW12" s="287">
        <f t="shared" si="30"/>
        <v>0</v>
      </c>
      <c r="DF12" s="286" t="s">
        <v>417</v>
      </c>
      <c r="DG12" s="288" t="s">
        <v>299</v>
      </c>
      <c r="DH12" s="286" t="s">
        <v>441</v>
      </c>
      <c r="DI12" s="288" t="s">
        <v>322</v>
      </c>
      <c r="DJ12" s="287">
        <v>42915000</v>
      </c>
      <c r="DK12" s="287">
        <v>0</v>
      </c>
      <c r="DL12" s="287">
        <v>0</v>
      </c>
      <c r="DM12" s="371">
        <f t="shared" si="32"/>
        <v>42915</v>
      </c>
      <c r="DN12" s="371">
        <f t="shared" si="33"/>
        <v>0</v>
      </c>
      <c r="DO12" s="371">
        <f t="shared" si="34"/>
        <v>0</v>
      </c>
      <c r="DR12" s="375"/>
      <c r="DV12" s="278">
        <f>SUM(DV3:DV11)</f>
        <v>365158.57699999999</v>
      </c>
      <c r="DX12" s="286" t="s">
        <v>417</v>
      </c>
      <c r="DY12" s="288" t="s">
        <v>299</v>
      </c>
      <c r="DZ12" s="286" t="s">
        <v>419</v>
      </c>
      <c r="EA12" s="288" t="s">
        <v>330</v>
      </c>
      <c r="EB12" s="287">
        <v>216665000</v>
      </c>
      <c r="EC12" s="287">
        <v>0</v>
      </c>
      <c r="ED12" s="287">
        <v>0</v>
      </c>
      <c r="EE12" s="287">
        <f t="shared" si="36"/>
        <v>216665</v>
      </c>
      <c r="EF12" s="287">
        <f t="shared" si="37"/>
        <v>0</v>
      </c>
      <c r="EG12" s="287">
        <f t="shared" si="38"/>
        <v>0</v>
      </c>
      <c r="EI12" s="286" t="s">
        <v>614</v>
      </c>
      <c r="EJ12" s="288" t="s">
        <v>615</v>
      </c>
      <c r="EK12" s="286" t="s">
        <v>429</v>
      </c>
      <c r="EL12" s="288" t="s">
        <v>429</v>
      </c>
      <c r="EM12" s="287">
        <v>10394996</v>
      </c>
      <c r="EN12" s="371">
        <f t="shared" si="39"/>
        <v>10394.995999999999</v>
      </c>
      <c r="EQ12" s="286" t="s">
        <v>417</v>
      </c>
      <c r="ER12" s="288" t="s">
        <v>299</v>
      </c>
      <c r="ES12" s="286" t="s">
        <v>419</v>
      </c>
      <c r="ET12" s="286" t="s">
        <v>330</v>
      </c>
      <c r="EU12" s="287">
        <v>216665000</v>
      </c>
      <c r="EV12" s="287">
        <v>0</v>
      </c>
      <c r="EW12" s="287">
        <v>0</v>
      </c>
      <c r="EX12" s="376">
        <f t="shared" si="40"/>
        <v>216665</v>
      </c>
      <c r="EY12" s="376">
        <f t="shared" si="41"/>
        <v>0</v>
      </c>
      <c r="EZ12" s="376">
        <f t="shared" si="42"/>
        <v>0</v>
      </c>
      <c r="FF12" s="275"/>
      <c r="FG12" s="275"/>
      <c r="FH12" s="275"/>
      <c r="FK12" s="297" t="s">
        <v>417</v>
      </c>
      <c r="FL12" s="297" t="s">
        <v>299</v>
      </c>
      <c r="FM12" s="297" t="s">
        <v>419</v>
      </c>
      <c r="FN12" s="297" t="s">
        <v>330</v>
      </c>
      <c r="FO12" s="372">
        <v>216665000</v>
      </c>
      <c r="FP12" s="372">
        <v>0</v>
      </c>
      <c r="FQ12" s="372">
        <v>0</v>
      </c>
      <c r="FR12" s="372">
        <f t="shared" si="43"/>
        <v>216665</v>
      </c>
      <c r="FS12" s="372">
        <f t="shared" si="5"/>
        <v>0</v>
      </c>
      <c r="FT12" s="372">
        <f t="shared" si="5"/>
        <v>0</v>
      </c>
      <c r="FV12" s="286" t="s">
        <v>504</v>
      </c>
      <c r="FW12" s="286" t="s">
        <v>507</v>
      </c>
      <c r="FX12" s="286" t="s">
        <v>429</v>
      </c>
      <c r="FY12" s="286" t="s">
        <v>429</v>
      </c>
      <c r="FZ12" s="287">
        <v>20991600</v>
      </c>
      <c r="GA12" s="287">
        <f t="shared" si="44"/>
        <v>20991.599999999999</v>
      </c>
      <c r="GC12" s="275" t="s">
        <v>417</v>
      </c>
      <c r="GD12" s="275" t="s">
        <v>299</v>
      </c>
      <c r="GE12" s="275" t="s">
        <v>418</v>
      </c>
      <c r="GF12" s="275" t="s">
        <v>319</v>
      </c>
      <c r="GG12" s="372">
        <v>2351809670</v>
      </c>
      <c r="GH12" s="372">
        <v>0</v>
      </c>
      <c r="GI12" s="372">
        <v>0</v>
      </c>
      <c r="GJ12" s="372">
        <f t="shared" si="45"/>
        <v>2351809.67</v>
      </c>
      <c r="GK12" s="372">
        <f t="shared" si="46"/>
        <v>0</v>
      </c>
      <c r="GL12" s="372">
        <f t="shared" si="47"/>
        <v>0</v>
      </c>
      <c r="GN12" s="286" t="s">
        <v>421</v>
      </c>
      <c r="GO12" s="288" t="s">
        <v>326</v>
      </c>
      <c r="GP12" s="286" t="s">
        <v>476</v>
      </c>
      <c r="GQ12" s="286" t="s">
        <v>592</v>
      </c>
      <c r="GR12" s="287">
        <v>314520000</v>
      </c>
      <c r="GS12" s="491">
        <f t="shared" si="48"/>
        <v>314520</v>
      </c>
      <c r="GU12" s="275" t="s">
        <v>417</v>
      </c>
      <c r="GV12" s="275" t="s">
        <v>299</v>
      </c>
      <c r="GW12" s="275" t="s">
        <v>418</v>
      </c>
      <c r="GX12" s="275" t="s">
        <v>319</v>
      </c>
      <c r="GY12" s="491">
        <v>2336393795</v>
      </c>
      <c r="GZ12" s="491">
        <v>0</v>
      </c>
      <c r="HA12" s="491">
        <v>0</v>
      </c>
      <c r="HB12" s="305">
        <f t="shared" si="49"/>
        <v>2336393.7949999999</v>
      </c>
      <c r="HC12" s="305">
        <f t="shared" si="50"/>
        <v>0</v>
      </c>
      <c r="HD12" s="305">
        <f t="shared" si="51"/>
        <v>0</v>
      </c>
    </row>
    <row r="13" spans="1:212" ht="15" customHeight="1" x14ac:dyDescent="0.2">
      <c r="A13" s="286" t="s">
        <v>417</v>
      </c>
      <c r="B13" s="286" t="s">
        <v>299</v>
      </c>
      <c r="C13" s="286" t="s">
        <v>420</v>
      </c>
      <c r="D13" s="286" t="s">
        <v>320</v>
      </c>
      <c r="E13" s="287">
        <v>30520000</v>
      </c>
      <c r="F13" s="287">
        <v>0</v>
      </c>
      <c r="G13" s="287">
        <v>0</v>
      </c>
      <c r="H13" s="371">
        <f t="shared" si="8"/>
        <v>31801.84</v>
      </c>
      <c r="I13" s="371">
        <f t="shared" si="9"/>
        <v>0</v>
      </c>
      <c r="J13" s="371">
        <f t="shared" si="10"/>
        <v>0</v>
      </c>
      <c r="S13" s="286" t="s">
        <v>417</v>
      </c>
      <c r="T13" s="288" t="s">
        <v>299</v>
      </c>
      <c r="U13" s="286" t="s">
        <v>420</v>
      </c>
      <c r="V13" s="288" t="s">
        <v>320</v>
      </c>
      <c r="W13" s="287">
        <v>30520000</v>
      </c>
      <c r="X13" s="287">
        <v>0</v>
      </c>
      <c r="Y13" s="287">
        <v>0</v>
      </c>
      <c r="Z13" s="361">
        <f t="shared" si="12"/>
        <v>31801.84</v>
      </c>
      <c r="AA13" s="361">
        <f t="shared" si="13"/>
        <v>0</v>
      </c>
      <c r="AB13" s="361">
        <f t="shared" si="14"/>
        <v>0</v>
      </c>
      <c r="AK13" s="286" t="s">
        <v>417</v>
      </c>
      <c r="AL13" s="286" t="s">
        <v>299</v>
      </c>
      <c r="AM13" s="286" t="s">
        <v>420</v>
      </c>
      <c r="AN13" s="286" t="s">
        <v>320</v>
      </c>
      <c r="AO13" s="287">
        <v>30520000</v>
      </c>
      <c r="AP13" s="287">
        <v>0</v>
      </c>
      <c r="AQ13" s="287">
        <v>0</v>
      </c>
      <c r="AR13" s="287">
        <f t="shared" si="16"/>
        <v>30520</v>
      </c>
      <c r="AS13" s="287">
        <f t="shared" si="17"/>
        <v>0</v>
      </c>
      <c r="AT13" s="287">
        <f t="shared" si="18"/>
        <v>0</v>
      </c>
      <c r="BC13" s="286" t="s">
        <v>417</v>
      </c>
      <c r="BD13" s="286" t="s">
        <v>299</v>
      </c>
      <c r="BE13" s="286" t="s">
        <v>420</v>
      </c>
      <c r="BF13" s="286" t="s">
        <v>320</v>
      </c>
      <c r="BG13" s="287">
        <v>30520000</v>
      </c>
      <c r="BH13" s="287">
        <v>0</v>
      </c>
      <c r="BI13" s="287">
        <v>0</v>
      </c>
      <c r="BJ13" s="372">
        <f t="shared" si="20"/>
        <v>30520</v>
      </c>
      <c r="BK13" s="372">
        <f t="shared" si="21"/>
        <v>0</v>
      </c>
      <c r="BL13" s="372">
        <f t="shared" si="22"/>
        <v>0</v>
      </c>
      <c r="BN13" s="286" t="s">
        <v>614</v>
      </c>
      <c r="BO13" s="286" t="s">
        <v>615</v>
      </c>
      <c r="BP13" s="286" t="s">
        <v>429</v>
      </c>
      <c r="BQ13" s="286" t="s">
        <v>429</v>
      </c>
      <c r="BR13" s="287">
        <v>-1</v>
      </c>
      <c r="BS13" s="287">
        <f t="shared" si="23"/>
        <v>-1E-3</v>
      </c>
      <c r="BV13" s="286" t="s">
        <v>417</v>
      </c>
      <c r="BW13" s="286" t="s">
        <v>299</v>
      </c>
      <c r="BX13" s="286" t="s">
        <v>420</v>
      </c>
      <c r="BY13" s="286" t="s">
        <v>320</v>
      </c>
      <c r="BZ13" s="287">
        <v>30520000</v>
      </c>
      <c r="CA13" s="287">
        <v>0</v>
      </c>
      <c r="CB13" s="287">
        <v>0</v>
      </c>
      <c r="CC13" s="287">
        <f t="shared" si="24"/>
        <v>30520</v>
      </c>
      <c r="CD13" s="287">
        <f t="shared" si="25"/>
        <v>0</v>
      </c>
      <c r="CE13" s="287">
        <f t="shared" si="26"/>
        <v>0</v>
      </c>
      <c r="CL13" s="377"/>
      <c r="CN13" s="286" t="s">
        <v>417</v>
      </c>
      <c r="CO13" s="286" t="s">
        <v>299</v>
      </c>
      <c r="CP13" s="286" t="s">
        <v>420</v>
      </c>
      <c r="CQ13" s="286" t="s">
        <v>320</v>
      </c>
      <c r="CR13" s="287">
        <v>30520000</v>
      </c>
      <c r="CS13" s="287">
        <v>0</v>
      </c>
      <c r="CT13" s="287">
        <v>0</v>
      </c>
      <c r="CU13" s="287">
        <f t="shared" si="28"/>
        <v>30520</v>
      </c>
      <c r="CV13" s="287">
        <f t="shared" si="29"/>
        <v>0</v>
      </c>
      <c r="CW13" s="287">
        <f t="shared" si="30"/>
        <v>0</v>
      </c>
      <c r="DF13" s="286" t="s">
        <v>417</v>
      </c>
      <c r="DG13" s="288" t="s">
        <v>299</v>
      </c>
      <c r="DH13" s="286" t="s">
        <v>420</v>
      </c>
      <c r="DI13" s="288" t="s">
        <v>320</v>
      </c>
      <c r="DJ13" s="287">
        <v>30520000</v>
      </c>
      <c r="DK13" s="287">
        <v>0</v>
      </c>
      <c r="DL13" s="287">
        <v>0</v>
      </c>
      <c r="DM13" s="371">
        <f t="shared" si="32"/>
        <v>30520</v>
      </c>
      <c r="DN13" s="371">
        <f t="shared" si="33"/>
        <v>0</v>
      </c>
      <c r="DO13" s="371">
        <f t="shared" si="34"/>
        <v>0</v>
      </c>
      <c r="DX13" s="286" t="s">
        <v>417</v>
      </c>
      <c r="DY13" s="288" t="s">
        <v>299</v>
      </c>
      <c r="DZ13" s="286" t="s">
        <v>441</v>
      </c>
      <c r="EA13" s="288" t="s">
        <v>322</v>
      </c>
      <c r="EB13" s="287">
        <v>42915000</v>
      </c>
      <c r="EC13" s="287">
        <v>0</v>
      </c>
      <c r="ED13" s="287">
        <v>0</v>
      </c>
      <c r="EE13" s="287">
        <f t="shared" si="36"/>
        <v>42915</v>
      </c>
      <c r="EF13" s="287">
        <f t="shared" si="37"/>
        <v>0</v>
      </c>
      <c r="EG13" s="287">
        <f t="shared" si="38"/>
        <v>0</v>
      </c>
      <c r="EQ13" s="286" t="s">
        <v>417</v>
      </c>
      <c r="ER13" s="288" t="s">
        <v>299</v>
      </c>
      <c r="ES13" s="286" t="s">
        <v>441</v>
      </c>
      <c r="ET13" s="286" t="s">
        <v>322</v>
      </c>
      <c r="EU13" s="287">
        <v>42915000</v>
      </c>
      <c r="EV13" s="287">
        <v>0</v>
      </c>
      <c r="EW13" s="287">
        <v>0</v>
      </c>
      <c r="EX13" s="376">
        <f t="shared" si="40"/>
        <v>42915</v>
      </c>
      <c r="EY13" s="376">
        <f t="shared" si="41"/>
        <v>0</v>
      </c>
      <c r="EZ13" s="376">
        <f t="shared" si="42"/>
        <v>0</v>
      </c>
      <c r="FF13" s="275"/>
      <c r="FG13" s="275"/>
      <c r="FH13" s="275"/>
      <c r="FK13" s="297" t="s">
        <v>417</v>
      </c>
      <c r="FL13" s="297" t="s">
        <v>299</v>
      </c>
      <c r="FM13" s="297" t="s">
        <v>441</v>
      </c>
      <c r="FN13" s="297" t="s">
        <v>322</v>
      </c>
      <c r="FO13" s="372">
        <v>42915000</v>
      </c>
      <c r="FP13" s="372">
        <v>0</v>
      </c>
      <c r="FQ13" s="372">
        <v>0</v>
      </c>
      <c r="FR13" s="372">
        <f t="shared" si="43"/>
        <v>42915</v>
      </c>
      <c r="FS13" s="372">
        <f t="shared" si="5"/>
        <v>0</v>
      </c>
      <c r="FT13" s="372">
        <f t="shared" si="5"/>
        <v>0</v>
      </c>
      <c r="FV13" s="286" t="s">
        <v>614</v>
      </c>
      <c r="FW13" s="286" t="s">
        <v>615</v>
      </c>
      <c r="FX13" s="286" t="s">
        <v>429</v>
      </c>
      <c r="FY13" s="286" t="s">
        <v>429</v>
      </c>
      <c r="FZ13" s="287">
        <v>2598749</v>
      </c>
      <c r="GA13" s="287">
        <f t="shared" si="44"/>
        <v>2598.7489999999998</v>
      </c>
      <c r="GC13" s="275" t="s">
        <v>417</v>
      </c>
      <c r="GD13" s="275" t="s">
        <v>299</v>
      </c>
      <c r="GE13" s="275" t="s">
        <v>419</v>
      </c>
      <c r="GF13" s="275" t="s">
        <v>330</v>
      </c>
      <c r="GG13" s="372">
        <v>216665000</v>
      </c>
      <c r="GH13" s="372">
        <v>0</v>
      </c>
      <c r="GI13" s="372">
        <v>0</v>
      </c>
      <c r="GJ13" s="372">
        <f t="shared" si="45"/>
        <v>216665</v>
      </c>
      <c r="GK13" s="372">
        <f t="shared" si="46"/>
        <v>0</v>
      </c>
      <c r="GL13" s="372">
        <f t="shared" si="47"/>
        <v>0</v>
      </c>
      <c r="GN13" s="286" t="s">
        <v>421</v>
      </c>
      <c r="GO13" s="288" t="s">
        <v>326</v>
      </c>
      <c r="GP13" s="286" t="s">
        <v>467</v>
      </c>
      <c r="GQ13" s="286" t="s">
        <v>591</v>
      </c>
      <c r="GR13" s="287">
        <v>264217140</v>
      </c>
      <c r="GS13" s="491">
        <f t="shared" si="48"/>
        <v>264217.14</v>
      </c>
      <c r="GU13" s="275" t="s">
        <v>417</v>
      </c>
      <c r="GV13" s="275" t="s">
        <v>299</v>
      </c>
      <c r="GW13" s="275" t="s">
        <v>419</v>
      </c>
      <c r="GX13" s="275" t="s">
        <v>330</v>
      </c>
      <c r="GY13" s="491">
        <v>200598800</v>
      </c>
      <c r="GZ13" s="491">
        <v>0</v>
      </c>
      <c r="HA13" s="491">
        <v>0</v>
      </c>
      <c r="HB13" s="305">
        <f t="shared" si="49"/>
        <v>200598.8</v>
      </c>
      <c r="HC13" s="305">
        <f t="shared" si="50"/>
        <v>0</v>
      </c>
      <c r="HD13" s="305">
        <f t="shared" si="51"/>
        <v>0</v>
      </c>
    </row>
    <row r="14" spans="1:212" ht="15" customHeight="1" x14ac:dyDescent="0.2">
      <c r="A14" s="286" t="s">
        <v>417</v>
      </c>
      <c r="B14" s="286" t="s">
        <v>299</v>
      </c>
      <c r="C14" s="286" t="s">
        <v>440</v>
      </c>
      <c r="D14" s="286" t="s">
        <v>321</v>
      </c>
      <c r="E14" s="287">
        <v>8000000</v>
      </c>
      <c r="F14" s="287">
        <v>0</v>
      </c>
      <c r="G14" s="287">
        <v>0</v>
      </c>
      <c r="H14" s="371">
        <f t="shared" si="8"/>
        <v>8336</v>
      </c>
      <c r="I14" s="371">
        <f t="shared" si="9"/>
        <v>0</v>
      </c>
      <c r="J14" s="371">
        <f t="shared" si="10"/>
        <v>0</v>
      </c>
      <c r="S14" s="286" t="s">
        <v>417</v>
      </c>
      <c r="T14" s="288" t="s">
        <v>299</v>
      </c>
      <c r="U14" s="286" t="s">
        <v>440</v>
      </c>
      <c r="V14" s="288" t="s">
        <v>321</v>
      </c>
      <c r="W14" s="287">
        <v>8000000</v>
      </c>
      <c r="X14" s="287">
        <v>0</v>
      </c>
      <c r="Y14" s="287">
        <v>0</v>
      </c>
      <c r="Z14" s="361">
        <f t="shared" si="12"/>
        <v>8336</v>
      </c>
      <c r="AA14" s="361">
        <f t="shared" si="13"/>
        <v>0</v>
      </c>
      <c r="AB14" s="361">
        <f t="shared" si="14"/>
        <v>0</v>
      </c>
      <c r="AK14" s="286" t="s">
        <v>417</v>
      </c>
      <c r="AL14" s="286" t="s">
        <v>299</v>
      </c>
      <c r="AM14" s="286" t="s">
        <v>440</v>
      </c>
      <c r="AN14" s="286" t="s">
        <v>321</v>
      </c>
      <c r="AO14" s="287">
        <v>8000000</v>
      </c>
      <c r="AP14" s="287">
        <v>0</v>
      </c>
      <c r="AQ14" s="287">
        <v>0</v>
      </c>
      <c r="AR14" s="287">
        <f t="shared" si="16"/>
        <v>8000</v>
      </c>
      <c r="AS14" s="287">
        <f t="shared" si="17"/>
        <v>0</v>
      </c>
      <c r="AT14" s="287">
        <f t="shared" si="18"/>
        <v>0</v>
      </c>
      <c r="BC14" s="286" t="s">
        <v>417</v>
      </c>
      <c r="BD14" s="286" t="s">
        <v>299</v>
      </c>
      <c r="BE14" s="286" t="s">
        <v>440</v>
      </c>
      <c r="BF14" s="286" t="s">
        <v>321</v>
      </c>
      <c r="BG14" s="287">
        <v>8000000</v>
      </c>
      <c r="BH14" s="287">
        <v>0</v>
      </c>
      <c r="BI14" s="287">
        <v>0</v>
      </c>
      <c r="BJ14" s="372">
        <f t="shared" si="20"/>
        <v>8000</v>
      </c>
      <c r="BK14" s="372">
        <f t="shared" si="21"/>
        <v>0</v>
      </c>
      <c r="BL14" s="372">
        <f t="shared" si="22"/>
        <v>0</v>
      </c>
      <c r="BS14" s="287">
        <f>SUM(BS3:BS13)</f>
        <v>672920.37800000003</v>
      </c>
      <c r="BV14" s="286" t="s">
        <v>417</v>
      </c>
      <c r="BW14" s="286" t="s">
        <v>299</v>
      </c>
      <c r="BX14" s="286" t="s">
        <v>440</v>
      </c>
      <c r="BY14" s="286" t="s">
        <v>321</v>
      </c>
      <c r="BZ14" s="287">
        <v>8000000</v>
      </c>
      <c r="CA14" s="287">
        <v>0</v>
      </c>
      <c r="CB14" s="287">
        <v>0</v>
      </c>
      <c r="CC14" s="287">
        <f t="shared" si="24"/>
        <v>8000</v>
      </c>
      <c r="CD14" s="287">
        <f t="shared" si="25"/>
        <v>0</v>
      </c>
      <c r="CE14" s="287">
        <f t="shared" si="26"/>
        <v>0</v>
      </c>
      <c r="CN14" s="286" t="s">
        <v>417</v>
      </c>
      <c r="CO14" s="286" t="s">
        <v>299</v>
      </c>
      <c r="CP14" s="286" t="s">
        <v>440</v>
      </c>
      <c r="CQ14" s="286" t="s">
        <v>321</v>
      </c>
      <c r="CR14" s="287">
        <v>8000000</v>
      </c>
      <c r="CS14" s="287">
        <v>0</v>
      </c>
      <c r="CT14" s="287">
        <v>0</v>
      </c>
      <c r="CU14" s="287">
        <f t="shared" si="28"/>
        <v>8000</v>
      </c>
      <c r="CV14" s="287">
        <f t="shared" si="29"/>
        <v>0</v>
      </c>
      <c r="CW14" s="287">
        <f t="shared" si="30"/>
        <v>0</v>
      </c>
      <c r="DF14" s="286" t="s">
        <v>417</v>
      </c>
      <c r="DG14" s="288" t="s">
        <v>299</v>
      </c>
      <c r="DH14" s="286" t="s">
        <v>440</v>
      </c>
      <c r="DI14" s="288" t="s">
        <v>321</v>
      </c>
      <c r="DJ14" s="287">
        <v>8000000</v>
      </c>
      <c r="DK14" s="287">
        <v>0</v>
      </c>
      <c r="DL14" s="287">
        <v>0</v>
      </c>
      <c r="DM14" s="371">
        <f t="shared" si="32"/>
        <v>8000</v>
      </c>
      <c r="DN14" s="371">
        <f t="shared" si="33"/>
        <v>0</v>
      </c>
      <c r="DO14" s="371">
        <f t="shared" si="34"/>
        <v>0</v>
      </c>
      <c r="DV14" s="279"/>
      <c r="DX14" s="286" t="s">
        <v>417</v>
      </c>
      <c r="DY14" s="288" t="s">
        <v>299</v>
      </c>
      <c r="DZ14" s="286" t="s">
        <v>420</v>
      </c>
      <c r="EA14" s="288" t="s">
        <v>320</v>
      </c>
      <c r="EB14" s="287">
        <v>30520000</v>
      </c>
      <c r="EC14" s="287">
        <v>0</v>
      </c>
      <c r="ED14" s="287">
        <v>0</v>
      </c>
      <c r="EE14" s="287">
        <f t="shared" si="36"/>
        <v>30520</v>
      </c>
      <c r="EF14" s="287">
        <f t="shared" si="37"/>
        <v>0</v>
      </c>
      <c r="EG14" s="287">
        <f t="shared" si="38"/>
        <v>0</v>
      </c>
      <c r="EQ14" s="286" t="s">
        <v>417</v>
      </c>
      <c r="ER14" s="288" t="s">
        <v>299</v>
      </c>
      <c r="ES14" s="286" t="s">
        <v>420</v>
      </c>
      <c r="ET14" s="286" t="s">
        <v>320</v>
      </c>
      <c r="EU14" s="287">
        <v>30520000</v>
      </c>
      <c r="EV14" s="287">
        <v>0</v>
      </c>
      <c r="EW14" s="287">
        <v>0</v>
      </c>
      <c r="EX14" s="376">
        <f t="shared" si="40"/>
        <v>30520</v>
      </c>
      <c r="EY14" s="376">
        <f t="shared" si="41"/>
        <v>0</v>
      </c>
      <c r="EZ14" s="376">
        <f t="shared" si="42"/>
        <v>0</v>
      </c>
      <c r="FK14" s="297" t="s">
        <v>417</v>
      </c>
      <c r="FL14" s="297" t="s">
        <v>299</v>
      </c>
      <c r="FM14" s="297" t="s">
        <v>420</v>
      </c>
      <c r="FN14" s="297" t="s">
        <v>320</v>
      </c>
      <c r="FO14" s="372">
        <v>30520000</v>
      </c>
      <c r="FP14" s="372">
        <v>0</v>
      </c>
      <c r="FQ14" s="372">
        <v>0</v>
      </c>
      <c r="FR14" s="372">
        <f t="shared" si="43"/>
        <v>30520</v>
      </c>
      <c r="FS14" s="372">
        <f t="shared" si="5"/>
        <v>0</v>
      </c>
      <c r="FT14" s="372">
        <f t="shared" si="5"/>
        <v>0</v>
      </c>
      <c r="GA14" s="377">
        <f>SUM(GA3:GA13)</f>
        <v>840480.9709999999</v>
      </c>
      <c r="GC14" s="275" t="s">
        <v>417</v>
      </c>
      <c r="GD14" s="275" t="s">
        <v>299</v>
      </c>
      <c r="GE14" s="275" t="s">
        <v>420</v>
      </c>
      <c r="GF14" s="275" t="s">
        <v>320</v>
      </c>
      <c r="GG14" s="372">
        <v>29700000</v>
      </c>
      <c r="GH14" s="372">
        <v>0</v>
      </c>
      <c r="GI14" s="372">
        <v>0</v>
      </c>
      <c r="GJ14" s="372">
        <f t="shared" si="45"/>
        <v>29700</v>
      </c>
      <c r="GK14" s="372">
        <f t="shared" si="46"/>
        <v>0</v>
      </c>
      <c r="GL14" s="372">
        <f t="shared" si="47"/>
        <v>0</v>
      </c>
      <c r="GN14" s="286" t="s">
        <v>421</v>
      </c>
      <c r="GO14" s="288" t="s">
        <v>326</v>
      </c>
      <c r="GP14" s="286" t="s">
        <v>589</v>
      </c>
      <c r="GQ14" s="286" t="s">
        <v>590</v>
      </c>
      <c r="GR14" s="287">
        <v>780000</v>
      </c>
      <c r="GS14" s="491">
        <f t="shared" si="48"/>
        <v>780</v>
      </c>
      <c r="GU14" s="275" t="s">
        <v>417</v>
      </c>
      <c r="GV14" s="275" t="s">
        <v>299</v>
      </c>
      <c r="GW14" s="275" t="s">
        <v>441</v>
      </c>
      <c r="GX14" s="275" t="s">
        <v>322</v>
      </c>
      <c r="GY14" s="491">
        <v>46888285</v>
      </c>
      <c r="GZ14" s="491">
        <v>0</v>
      </c>
      <c r="HA14" s="491">
        <v>0</v>
      </c>
      <c r="HB14" s="305">
        <f t="shared" si="49"/>
        <v>46888.285000000003</v>
      </c>
      <c r="HC14" s="305">
        <f t="shared" si="50"/>
        <v>0</v>
      </c>
      <c r="HD14" s="305">
        <f t="shared" si="51"/>
        <v>0</v>
      </c>
    </row>
    <row r="15" spans="1:212" ht="15" customHeight="1" x14ac:dyDescent="0.2">
      <c r="A15" s="286" t="s">
        <v>417</v>
      </c>
      <c r="B15" s="286" t="s">
        <v>299</v>
      </c>
      <c r="C15" s="286" t="s">
        <v>419</v>
      </c>
      <c r="D15" s="286" t="s">
        <v>330</v>
      </c>
      <c r="E15" s="287">
        <v>0</v>
      </c>
      <c r="F15" s="287">
        <v>45138031</v>
      </c>
      <c r="G15" s="287">
        <v>14216571</v>
      </c>
      <c r="H15" s="371">
        <f t="shared" si="8"/>
        <v>0</v>
      </c>
      <c r="I15" s="371">
        <f t="shared" si="9"/>
        <v>47033.828302000002</v>
      </c>
      <c r="J15" s="371">
        <f t="shared" si="10"/>
        <v>14813.666982000001</v>
      </c>
      <c r="S15" s="286" t="s">
        <v>417</v>
      </c>
      <c r="T15" s="288" t="s">
        <v>299</v>
      </c>
      <c r="U15" s="286" t="s">
        <v>418</v>
      </c>
      <c r="V15" s="288" t="s">
        <v>319</v>
      </c>
      <c r="W15" s="287">
        <v>0</v>
      </c>
      <c r="X15" s="287">
        <v>497240563</v>
      </c>
      <c r="Y15" s="287">
        <v>0</v>
      </c>
      <c r="Z15" s="361">
        <f t="shared" si="12"/>
        <v>0</v>
      </c>
      <c r="AA15" s="361">
        <f t="shared" si="13"/>
        <v>518124.66664600006</v>
      </c>
      <c r="AB15" s="361">
        <f t="shared" si="14"/>
        <v>0</v>
      </c>
      <c r="AK15" s="286" t="s">
        <v>417</v>
      </c>
      <c r="AL15" s="286" t="s">
        <v>299</v>
      </c>
      <c r="AM15" s="286" t="s">
        <v>441</v>
      </c>
      <c r="AN15" s="286" t="s">
        <v>322</v>
      </c>
      <c r="AO15" s="287">
        <v>0</v>
      </c>
      <c r="AP15" s="287">
        <v>1227819</v>
      </c>
      <c r="AQ15" s="287">
        <v>1227819</v>
      </c>
      <c r="AR15" s="287">
        <f t="shared" si="16"/>
        <v>0</v>
      </c>
      <c r="AS15" s="287">
        <f t="shared" si="17"/>
        <v>1227.819</v>
      </c>
      <c r="AT15" s="287">
        <f t="shared" si="18"/>
        <v>1227.819</v>
      </c>
      <c r="BC15" s="286" t="s">
        <v>417</v>
      </c>
      <c r="BD15" s="286" t="s">
        <v>299</v>
      </c>
      <c r="BE15" s="286" t="s">
        <v>418</v>
      </c>
      <c r="BF15" s="286" t="s">
        <v>319</v>
      </c>
      <c r="BG15" s="287">
        <v>0</v>
      </c>
      <c r="BH15" s="287">
        <v>1322087432</v>
      </c>
      <c r="BI15" s="287">
        <v>300018541</v>
      </c>
      <c r="BJ15" s="372">
        <f t="shared" si="20"/>
        <v>0</v>
      </c>
      <c r="BK15" s="372">
        <f t="shared" si="21"/>
        <v>1322087.432</v>
      </c>
      <c r="BL15" s="372">
        <f t="shared" si="22"/>
        <v>300018.54100000003</v>
      </c>
      <c r="BV15" s="286" t="s">
        <v>417</v>
      </c>
      <c r="BW15" s="286" t="s">
        <v>299</v>
      </c>
      <c r="BX15" s="286" t="s">
        <v>419</v>
      </c>
      <c r="BY15" s="286" t="s">
        <v>330</v>
      </c>
      <c r="BZ15" s="287">
        <v>0</v>
      </c>
      <c r="CA15" s="287">
        <v>112737439</v>
      </c>
      <c r="CB15" s="287">
        <v>53800301</v>
      </c>
      <c r="CC15" s="287">
        <f t="shared" si="24"/>
        <v>0</v>
      </c>
      <c r="CD15" s="287">
        <f t="shared" si="25"/>
        <v>112737.439</v>
      </c>
      <c r="CE15" s="287">
        <f t="shared" si="26"/>
        <v>53800.300999999999</v>
      </c>
      <c r="CL15" s="279"/>
      <c r="CN15" s="286" t="s">
        <v>417</v>
      </c>
      <c r="CO15" s="286" t="s">
        <v>299</v>
      </c>
      <c r="CP15" s="286" t="s">
        <v>418</v>
      </c>
      <c r="CQ15" s="286" t="s">
        <v>319</v>
      </c>
      <c r="CR15" s="287">
        <v>0</v>
      </c>
      <c r="CS15" s="287">
        <v>1332425332</v>
      </c>
      <c r="CT15" s="287">
        <v>920181962</v>
      </c>
      <c r="CU15" s="287">
        <f t="shared" si="28"/>
        <v>0</v>
      </c>
      <c r="CV15" s="287">
        <f t="shared" si="29"/>
        <v>1332425.3319999999</v>
      </c>
      <c r="CW15" s="287">
        <f t="shared" si="30"/>
        <v>920181.96200000006</v>
      </c>
      <c r="DF15" s="286" t="s">
        <v>417</v>
      </c>
      <c r="DG15" s="288" t="s">
        <v>299</v>
      </c>
      <c r="DH15" s="286" t="s">
        <v>420</v>
      </c>
      <c r="DI15" s="288" t="s">
        <v>320</v>
      </c>
      <c r="DJ15" s="287">
        <v>0</v>
      </c>
      <c r="DK15" s="287">
        <v>25908120</v>
      </c>
      <c r="DL15" s="287">
        <v>15113070</v>
      </c>
      <c r="DM15" s="371">
        <f t="shared" si="32"/>
        <v>0</v>
      </c>
      <c r="DN15" s="371">
        <f t="shared" si="33"/>
        <v>25908.12</v>
      </c>
      <c r="DO15" s="371">
        <f t="shared" si="34"/>
        <v>15113.07</v>
      </c>
      <c r="DX15" s="286" t="s">
        <v>417</v>
      </c>
      <c r="DY15" s="288" t="s">
        <v>299</v>
      </c>
      <c r="DZ15" s="286" t="s">
        <v>440</v>
      </c>
      <c r="EA15" s="288" t="s">
        <v>321</v>
      </c>
      <c r="EB15" s="287">
        <v>8000000</v>
      </c>
      <c r="EC15" s="287">
        <v>0</v>
      </c>
      <c r="ED15" s="287">
        <v>0</v>
      </c>
      <c r="EE15" s="287">
        <f t="shared" si="36"/>
        <v>8000</v>
      </c>
      <c r="EF15" s="287">
        <f t="shared" si="37"/>
        <v>0</v>
      </c>
      <c r="EG15" s="287">
        <f t="shared" si="38"/>
        <v>0</v>
      </c>
      <c r="EQ15" s="286" t="s">
        <v>417</v>
      </c>
      <c r="ER15" s="288" t="s">
        <v>299</v>
      </c>
      <c r="ES15" s="286" t="s">
        <v>440</v>
      </c>
      <c r="ET15" s="286" t="s">
        <v>321</v>
      </c>
      <c r="EU15" s="287">
        <v>8000000</v>
      </c>
      <c r="EV15" s="287">
        <v>0</v>
      </c>
      <c r="EW15" s="287">
        <v>0</v>
      </c>
      <c r="EX15" s="376">
        <f t="shared" si="40"/>
        <v>8000</v>
      </c>
      <c r="EY15" s="376">
        <f t="shared" si="41"/>
        <v>0</v>
      </c>
      <c r="EZ15" s="376">
        <f t="shared" si="42"/>
        <v>0</v>
      </c>
      <c r="FK15" s="297" t="s">
        <v>417</v>
      </c>
      <c r="FL15" s="297" t="s">
        <v>299</v>
      </c>
      <c r="FM15" s="297" t="s">
        <v>440</v>
      </c>
      <c r="FN15" s="297" t="s">
        <v>321</v>
      </c>
      <c r="FO15" s="372">
        <v>8000000</v>
      </c>
      <c r="FP15" s="372">
        <v>0</v>
      </c>
      <c r="FQ15" s="372">
        <v>0</v>
      </c>
      <c r="FR15" s="372">
        <f t="shared" si="43"/>
        <v>8000</v>
      </c>
      <c r="FS15" s="372">
        <f t="shared" si="5"/>
        <v>0</v>
      </c>
      <c r="FT15" s="372">
        <f t="shared" si="5"/>
        <v>0</v>
      </c>
      <c r="GC15" s="275" t="s">
        <v>417</v>
      </c>
      <c r="GD15" s="275" t="s">
        <v>299</v>
      </c>
      <c r="GE15" s="275" t="s">
        <v>441</v>
      </c>
      <c r="GF15" s="275" t="s">
        <v>322</v>
      </c>
      <c r="GG15" s="372">
        <v>12114330</v>
      </c>
      <c r="GH15" s="372">
        <v>0</v>
      </c>
      <c r="GI15" s="372">
        <v>0</v>
      </c>
      <c r="GJ15" s="372">
        <f t="shared" si="45"/>
        <v>12114.33</v>
      </c>
      <c r="GK15" s="372">
        <f t="shared" si="46"/>
        <v>0</v>
      </c>
      <c r="GL15" s="372">
        <f t="shared" si="47"/>
        <v>0</v>
      </c>
      <c r="GN15" s="286" t="s">
        <v>421</v>
      </c>
      <c r="GO15" s="288" t="s">
        <v>326</v>
      </c>
      <c r="GP15" s="286" t="s">
        <v>442</v>
      </c>
      <c r="GQ15" s="286" t="s">
        <v>593</v>
      </c>
      <c r="GR15" s="287">
        <v>107846000</v>
      </c>
      <c r="GS15" s="491">
        <f t="shared" si="48"/>
        <v>107846</v>
      </c>
      <c r="GU15" s="275" t="s">
        <v>417</v>
      </c>
      <c r="GV15" s="275" t="s">
        <v>299</v>
      </c>
      <c r="GW15" s="275" t="s">
        <v>420</v>
      </c>
      <c r="GX15" s="275" t="s">
        <v>320</v>
      </c>
      <c r="GY15" s="491">
        <v>26408120</v>
      </c>
      <c r="GZ15" s="491">
        <v>0</v>
      </c>
      <c r="HA15" s="491">
        <v>0</v>
      </c>
      <c r="HB15" s="305">
        <f t="shared" si="49"/>
        <v>26408.12</v>
      </c>
      <c r="HC15" s="305">
        <f t="shared" si="50"/>
        <v>0</v>
      </c>
      <c r="HD15" s="305">
        <f t="shared" si="51"/>
        <v>0</v>
      </c>
    </row>
    <row r="16" spans="1:212" ht="15" customHeight="1" x14ac:dyDescent="0.2">
      <c r="A16" s="286" t="s">
        <v>417</v>
      </c>
      <c r="B16" s="286" t="s">
        <v>299</v>
      </c>
      <c r="C16" s="286" t="s">
        <v>429</v>
      </c>
      <c r="D16" s="286" t="s">
        <v>429</v>
      </c>
      <c r="E16" s="287">
        <v>0</v>
      </c>
      <c r="F16" s="287">
        <v>0</v>
      </c>
      <c r="G16" s="287">
        <v>0</v>
      </c>
      <c r="H16" s="371">
        <f t="shared" si="8"/>
        <v>0</v>
      </c>
      <c r="I16" s="371">
        <f t="shared" si="9"/>
        <v>0</v>
      </c>
      <c r="J16" s="371">
        <f t="shared" si="10"/>
        <v>0</v>
      </c>
      <c r="S16" s="286" t="s">
        <v>417</v>
      </c>
      <c r="T16" s="288" t="s">
        <v>299</v>
      </c>
      <c r="U16" s="286" t="s">
        <v>419</v>
      </c>
      <c r="V16" s="288" t="s">
        <v>330</v>
      </c>
      <c r="W16" s="287">
        <v>0</v>
      </c>
      <c r="X16" s="287">
        <v>45138031</v>
      </c>
      <c r="Y16" s="287">
        <v>14216571</v>
      </c>
      <c r="Z16" s="361">
        <f t="shared" si="12"/>
        <v>0</v>
      </c>
      <c r="AA16" s="361">
        <f t="shared" si="13"/>
        <v>47033.828302000002</v>
      </c>
      <c r="AB16" s="361">
        <f t="shared" si="14"/>
        <v>14813.666982000001</v>
      </c>
      <c r="AK16" s="286" t="s">
        <v>417</v>
      </c>
      <c r="AL16" s="286" t="s">
        <v>299</v>
      </c>
      <c r="AM16" s="286" t="s">
        <v>429</v>
      </c>
      <c r="AN16" s="286" t="s">
        <v>429</v>
      </c>
      <c r="AO16" s="287">
        <v>0</v>
      </c>
      <c r="AP16" s="287">
        <v>0</v>
      </c>
      <c r="AQ16" s="287">
        <v>0</v>
      </c>
      <c r="AR16" s="287">
        <f t="shared" si="16"/>
        <v>0</v>
      </c>
      <c r="AS16" s="287">
        <f t="shared" si="17"/>
        <v>0</v>
      </c>
      <c r="AT16" s="287">
        <f t="shared" si="18"/>
        <v>0</v>
      </c>
      <c r="BC16" s="286" t="s">
        <v>417</v>
      </c>
      <c r="BD16" s="286" t="s">
        <v>299</v>
      </c>
      <c r="BE16" s="286" t="s">
        <v>419</v>
      </c>
      <c r="BF16" s="286" t="s">
        <v>330</v>
      </c>
      <c r="BG16" s="287">
        <v>0</v>
      </c>
      <c r="BH16" s="287">
        <v>112737439</v>
      </c>
      <c r="BI16" s="287">
        <v>53671821</v>
      </c>
      <c r="BJ16" s="372">
        <f t="shared" si="20"/>
        <v>0</v>
      </c>
      <c r="BK16" s="372">
        <f t="shared" si="21"/>
        <v>112737.439</v>
      </c>
      <c r="BL16" s="372">
        <f t="shared" si="22"/>
        <v>53671.821000000004</v>
      </c>
      <c r="BV16" s="286" t="s">
        <v>417</v>
      </c>
      <c r="BW16" s="286" t="s">
        <v>299</v>
      </c>
      <c r="BX16" s="286" t="s">
        <v>420</v>
      </c>
      <c r="BY16" s="286" t="s">
        <v>320</v>
      </c>
      <c r="BZ16" s="287">
        <v>0</v>
      </c>
      <c r="CA16" s="287">
        <v>25908120</v>
      </c>
      <c r="CB16" s="287">
        <v>10795050</v>
      </c>
      <c r="CC16" s="287">
        <f t="shared" si="24"/>
        <v>0</v>
      </c>
      <c r="CD16" s="287">
        <f t="shared" si="25"/>
        <v>25908.12</v>
      </c>
      <c r="CE16" s="287">
        <f t="shared" si="26"/>
        <v>10795.05</v>
      </c>
      <c r="CN16" s="286" t="s">
        <v>417</v>
      </c>
      <c r="CO16" s="286" t="s">
        <v>299</v>
      </c>
      <c r="CP16" s="286" t="s">
        <v>441</v>
      </c>
      <c r="CQ16" s="286" t="s">
        <v>322</v>
      </c>
      <c r="CR16" s="287">
        <v>0</v>
      </c>
      <c r="CS16" s="287">
        <v>11098926</v>
      </c>
      <c r="CT16" s="287">
        <v>5598926</v>
      </c>
      <c r="CU16" s="287">
        <f t="shared" si="28"/>
        <v>0</v>
      </c>
      <c r="CV16" s="287">
        <f t="shared" si="29"/>
        <v>11098.925999999999</v>
      </c>
      <c r="CW16" s="287">
        <f t="shared" si="30"/>
        <v>5598.9260000000004</v>
      </c>
      <c r="DF16" s="286" t="s">
        <v>417</v>
      </c>
      <c r="DG16" s="288" t="s">
        <v>299</v>
      </c>
      <c r="DH16" s="286" t="s">
        <v>429</v>
      </c>
      <c r="DI16" s="288" t="s">
        <v>429</v>
      </c>
      <c r="DJ16" s="287">
        <v>0</v>
      </c>
      <c r="DK16" s="287">
        <v>0</v>
      </c>
      <c r="DL16" s="287">
        <v>0</v>
      </c>
      <c r="DM16" s="371">
        <f t="shared" si="32"/>
        <v>0</v>
      </c>
      <c r="DN16" s="371">
        <f t="shared" si="33"/>
        <v>0</v>
      </c>
      <c r="DO16" s="371">
        <f t="shared" si="34"/>
        <v>0</v>
      </c>
      <c r="DX16" s="286" t="s">
        <v>417</v>
      </c>
      <c r="DY16" s="288" t="s">
        <v>299</v>
      </c>
      <c r="DZ16" s="286" t="s">
        <v>419</v>
      </c>
      <c r="EA16" s="288" t="s">
        <v>330</v>
      </c>
      <c r="EB16" s="287">
        <v>0</v>
      </c>
      <c r="EC16" s="287">
        <v>112737439</v>
      </c>
      <c r="ED16" s="287">
        <v>53800301</v>
      </c>
      <c r="EE16" s="287">
        <f t="shared" si="36"/>
        <v>0</v>
      </c>
      <c r="EF16" s="287">
        <f t="shared" si="37"/>
        <v>112737.439</v>
      </c>
      <c r="EG16" s="287">
        <f t="shared" si="38"/>
        <v>53800.300999999999</v>
      </c>
      <c r="EQ16" s="286" t="s">
        <v>417</v>
      </c>
      <c r="ER16" s="288" t="s">
        <v>299</v>
      </c>
      <c r="ES16" s="286" t="s">
        <v>419</v>
      </c>
      <c r="ET16" s="286" t="s">
        <v>330</v>
      </c>
      <c r="EU16" s="287">
        <v>0</v>
      </c>
      <c r="EV16" s="287">
        <v>81473806</v>
      </c>
      <c r="EW16" s="287">
        <v>112875393</v>
      </c>
      <c r="EX16" s="376">
        <f t="shared" si="40"/>
        <v>0</v>
      </c>
      <c r="EY16" s="376">
        <f t="shared" si="41"/>
        <v>81473.805999999997</v>
      </c>
      <c r="EZ16" s="376">
        <f t="shared" si="42"/>
        <v>112875.393</v>
      </c>
      <c r="FK16" s="297" t="s">
        <v>417</v>
      </c>
      <c r="FL16" s="297" t="s">
        <v>299</v>
      </c>
      <c r="FM16" s="297" t="s">
        <v>429</v>
      </c>
      <c r="FN16" s="297" t="s">
        <v>429</v>
      </c>
      <c r="FO16" s="372">
        <v>0</v>
      </c>
      <c r="FP16" s="372">
        <v>0</v>
      </c>
      <c r="FQ16" s="372">
        <v>0</v>
      </c>
      <c r="FR16" s="372">
        <f t="shared" si="43"/>
        <v>0</v>
      </c>
      <c r="FS16" s="372">
        <f t="shared" si="5"/>
        <v>0</v>
      </c>
      <c r="FT16" s="372">
        <f t="shared" si="5"/>
        <v>0</v>
      </c>
      <c r="GC16" s="275" t="s">
        <v>417</v>
      </c>
      <c r="GD16" s="275" t="s">
        <v>299</v>
      </c>
      <c r="GE16" s="275" t="s">
        <v>429</v>
      </c>
      <c r="GF16" s="275" t="s">
        <v>429</v>
      </c>
      <c r="GG16" s="372">
        <v>0</v>
      </c>
      <c r="GH16" s="372">
        <v>0</v>
      </c>
      <c r="GI16" s="372">
        <v>0</v>
      </c>
      <c r="GJ16" s="372">
        <f t="shared" si="45"/>
        <v>0</v>
      </c>
      <c r="GK16" s="372">
        <f t="shared" si="46"/>
        <v>0</v>
      </c>
      <c r="GL16" s="372">
        <f t="shared" si="47"/>
        <v>0</v>
      </c>
      <c r="GN16" s="286" t="s">
        <v>999</v>
      </c>
      <c r="GO16" s="288" t="s">
        <v>863</v>
      </c>
      <c r="GP16" s="286" t="s">
        <v>429</v>
      </c>
      <c r="GQ16" s="286" t="s">
        <v>429</v>
      </c>
      <c r="GR16" s="287">
        <v>2598750</v>
      </c>
      <c r="GS16" s="491">
        <f t="shared" si="48"/>
        <v>2598.75</v>
      </c>
      <c r="GU16" s="275" t="s">
        <v>417</v>
      </c>
      <c r="GV16" s="275" t="s">
        <v>299</v>
      </c>
      <c r="GW16" s="275" t="s">
        <v>441</v>
      </c>
      <c r="GX16" s="275" t="s">
        <v>322</v>
      </c>
      <c r="GY16" s="491">
        <v>0</v>
      </c>
      <c r="GZ16" s="491">
        <v>12301340</v>
      </c>
      <c r="HA16" s="491">
        <v>12301340</v>
      </c>
      <c r="HB16" s="305">
        <f t="shared" si="49"/>
        <v>0</v>
      </c>
      <c r="HC16" s="305">
        <f t="shared" si="50"/>
        <v>12301.34</v>
      </c>
      <c r="HD16" s="305">
        <f t="shared" si="51"/>
        <v>12301.34</v>
      </c>
    </row>
    <row r="17" spans="1:212" ht="15" customHeight="1" x14ac:dyDescent="0.2">
      <c r="A17" s="286" t="s">
        <v>417</v>
      </c>
      <c r="B17" s="286" t="s">
        <v>299</v>
      </c>
      <c r="C17" s="286" t="s">
        <v>420</v>
      </c>
      <c r="D17" s="286" t="s">
        <v>320</v>
      </c>
      <c r="E17" s="287">
        <v>0</v>
      </c>
      <c r="F17" s="287">
        <v>25908120</v>
      </c>
      <c r="G17" s="287">
        <v>2159010</v>
      </c>
      <c r="H17" s="371">
        <f t="shared" si="8"/>
        <v>0</v>
      </c>
      <c r="I17" s="371">
        <f t="shared" si="9"/>
        <v>26996.261040000001</v>
      </c>
      <c r="J17" s="371">
        <f t="shared" si="10"/>
        <v>2249.6884200000004</v>
      </c>
      <c r="S17" s="286" t="s">
        <v>417</v>
      </c>
      <c r="T17" s="288" t="s">
        <v>299</v>
      </c>
      <c r="U17" s="286" t="s">
        <v>420</v>
      </c>
      <c r="V17" s="288" t="s">
        <v>320</v>
      </c>
      <c r="W17" s="287">
        <v>0</v>
      </c>
      <c r="X17" s="287">
        <v>25908120</v>
      </c>
      <c r="Y17" s="287">
        <v>4318020</v>
      </c>
      <c r="Z17" s="361">
        <f t="shared" si="12"/>
        <v>0</v>
      </c>
      <c r="AA17" s="361">
        <f t="shared" si="13"/>
        <v>26996.261040000001</v>
      </c>
      <c r="AB17" s="361">
        <f t="shared" si="14"/>
        <v>4499.3768400000008</v>
      </c>
      <c r="AK17" s="286" t="s">
        <v>417</v>
      </c>
      <c r="AL17" s="286" t="s">
        <v>299</v>
      </c>
      <c r="AM17" s="286" t="s">
        <v>418</v>
      </c>
      <c r="AN17" s="286" t="s">
        <v>319</v>
      </c>
      <c r="AO17" s="287">
        <v>0</v>
      </c>
      <c r="AP17" s="287">
        <v>1056663757</v>
      </c>
      <c r="AQ17" s="287">
        <v>189651376</v>
      </c>
      <c r="AR17" s="287">
        <f t="shared" si="16"/>
        <v>0</v>
      </c>
      <c r="AS17" s="287">
        <f t="shared" si="17"/>
        <v>1056663.757</v>
      </c>
      <c r="AT17" s="287">
        <f t="shared" si="18"/>
        <v>189651.37599999999</v>
      </c>
      <c r="BC17" s="286" t="s">
        <v>417</v>
      </c>
      <c r="BD17" s="286" t="s">
        <v>299</v>
      </c>
      <c r="BE17" s="286" t="s">
        <v>429</v>
      </c>
      <c r="BF17" s="286" t="s">
        <v>429</v>
      </c>
      <c r="BG17" s="287">
        <v>0</v>
      </c>
      <c r="BH17" s="287">
        <v>0</v>
      </c>
      <c r="BI17" s="287">
        <v>0</v>
      </c>
      <c r="BJ17" s="372">
        <f t="shared" si="20"/>
        <v>0</v>
      </c>
      <c r="BK17" s="372">
        <f t="shared" si="21"/>
        <v>0</v>
      </c>
      <c r="BL17" s="372">
        <f t="shared" si="22"/>
        <v>0</v>
      </c>
      <c r="BV17" s="286" t="s">
        <v>417</v>
      </c>
      <c r="BW17" s="286" t="s">
        <v>299</v>
      </c>
      <c r="BX17" s="286" t="s">
        <v>441</v>
      </c>
      <c r="BY17" s="286" t="s">
        <v>322</v>
      </c>
      <c r="BZ17" s="287">
        <v>0</v>
      </c>
      <c r="CA17" s="287">
        <v>11098926</v>
      </c>
      <c r="CB17" s="287">
        <v>5598926</v>
      </c>
      <c r="CC17" s="287">
        <f t="shared" si="24"/>
        <v>0</v>
      </c>
      <c r="CD17" s="287">
        <f t="shared" si="25"/>
        <v>11098.925999999999</v>
      </c>
      <c r="CE17" s="287">
        <f t="shared" si="26"/>
        <v>5598.9260000000004</v>
      </c>
      <c r="CN17" s="286" t="s">
        <v>417</v>
      </c>
      <c r="CO17" s="286" t="s">
        <v>299</v>
      </c>
      <c r="CP17" s="286" t="s">
        <v>420</v>
      </c>
      <c r="CQ17" s="286" t="s">
        <v>320</v>
      </c>
      <c r="CR17" s="287">
        <v>0</v>
      </c>
      <c r="CS17" s="287">
        <v>25908120</v>
      </c>
      <c r="CT17" s="287">
        <v>12954060</v>
      </c>
      <c r="CU17" s="287">
        <f t="shared" si="28"/>
        <v>0</v>
      </c>
      <c r="CV17" s="287">
        <f t="shared" si="29"/>
        <v>25908.12</v>
      </c>
      <c r="CW17" s="287">
        <f t="shared" si="30"/>
        <v>12954.06</v>
      </c>
      <c r="DF17" s="286" t="s">
        <v>417</v>
      </c>
      <c r="DG17" s="288" t="s">
        <v>299</v>
      </c>
      <c r="DH17" s="286" t="s">
        <v>419</v>
      </c>
      <c r="DI17" s="288" t="s">
        <v>330</v>
      </c>
      <c r="DJ17" s="287">
        <v>0</v>
      </c>
      <c r="DK17" s="287">
        <v>112737439</v>
      </c>
      <c r="DL17" s="287">
        <v>53800301</v>
      </c>
      <c r="DM17" s="371">
        <f t="shared" si="32"/>
        <v>0</v>
      </c>
      <c r="DN17" s="371">
        <f t="shared" si="33"/>
        <v>112737.439</v>
      </c>
      <c r="DO17" s="371">
        <f t="shared" si="34"/>
        <v>53800.300999999999</v>
      </c>
      <c r="DX17" s="286" t="s">
        <v>417</v>
      </c>
      <c r="DY17" s="288" t="s">
        <v>299</v>
      </c>
      <c r="DZ17" s="286" t="s">
        <v>429</v>
      </c>
      <c r="EA17" s="288" t="s">
        <v>429</v>
      </c>
      <c r="EB17" s="287">
        <v>0</v>
      </c>
      <c r="EC17" s="287">
        <v>0</v>
      </c>
      <c r="ED17" s="287">
        <v>0</v>
      </c>
      <c r="EE17" s="287">
        <f t="shared" si="36"/>
        <v>0</v>
      </c>
      <c r="EF17" s="287">
        <f t="shared" si="37"/>
        <v>0</v>
      </c>
      <c r="EG17" s="287">
        <f t="shared" si="38"/>
        <v>0</v>
      </c>
      <c r="EQ17" s="286" t="s">
        <v>417</v>
      </c>
      <c r="ER17" s="288" t="s">
        <v>299</v>
      </c>
      <c r="ES17" s="286" t="s">
        <v>418</v>
      </c>
      <c r="ET17" s="286" t="s">
        <v>319</v>
      </c>
      <c r="EU17" s="287">
        <v>0</v>
      </c>
      <c r="EV17" s="287">
        <v>1115711573</v>
      </c>
      <c r="EW17" s="287">
        <v>1171884058</v>
      </c>
      <c r="EX17" s="376">
        <f t="shared" si="40"/>
        <v>0</v>
      </c>
      <c r="EY17" s="376">
        <f t="shared" si="41"/>
        <v>1115711.5730000001</v>
      </c>
      <c r="EZ17" s="376">
        <f t="shared" si="42"/>
        <v>1171884.058</v>
      </c>
      <c r="FK17" s="297" t="s">
        <v>417</v>
      </c>
      <c r="FL17" s="297" t="s">
        <v>299</v>
      </c>
      <c r="FM17" s="297" t="s">
        <v>419</v>
      </c>
      <c r="FN17" s="297" t="s">
        <v>330</v>
      </c>
      <c r="FO17" s="372">
        <v>0</v>
      </c>
      <c r="FP17" s="372">
        <v>167544411</v>
      </c>
      <c r="FQ17" s="372">
        <v>81473806</v>
      </c>
      <c r="FR17" s="372">
        <f t="shared" si="43"/>
        <v>0</v>
      </c>
      <c r="FS17" s="372">
        <f t="shared" si="5"/>
        <v>167544.41099999999</v>
      </c>
      <c r="FT17" s="372">
        <f t="shared" si="5"/>
        <v>81473.805999999997</v>
      </c>
      <c r="GC17" s="275" t="s">
        <v>417</v>
      </c>
      <c r="GD17" s="275" t="s">
        <v>299</v>
      </c>
      <c r="GE17" s="275" t="s">
        <v>441</v>
      </c>
      <c r="GF17" s="275" t="s">
        <v>322</v>
      </c>
      <c r="GG17" s="372">
        <v>0</v>
      </c>
      <c r="GH17" s="372">
        <v>12114330</v>
      </c>
      <c r="GI17" s="372">
        <v>10184330</v>
      </c>
      <c r="GJ17" s="372">
        <f t="shared" si="45"/>
        <v>0</v>
      </c>
      <c r="GK17" s="372">
        <f t="shared" si="46"/>
        <v>12114.33</v>
      </c>
      <c r="GL17" s="372">
        <f t="shared" si="47"/>
        <v>10184.33</v>
      </c>
      <c r="GN17" s="286" t="s">
        <v>443</v>
      </c>
      <c r="GO17" s="288" t="s">
        <v>444</v>
      </c>
      <c r="GP17" s="286" t="s">
        <v>429</v>
      </c>
      <c r="GQ17" s="286" t="s">
        <v>429</v>
      </c>
      <c r="GR17" s="287">
        <v>259951188</v>
      </c>
      <c r="GS17" s="491">
        <f t="shared" si="48"/>
        <v>259951.18799999999</v>
      </c>
      <c r="GU17" s="275" t="s">
        <v>417</v>
      </c>
      <c r="GV17" s="275" t="s">
        <v>299</v>
      </c>
      <c r="GW17" s="275" t="s">
        <v>419</v>
      </c>
      <c r="GX17" s="275" t="s">
        <v>330</v>
      </c>
      <c r="GY17" s="491">
        <v>0</v>
      </c>
      <c r="GZ17" s="491">
        <v>176905587</v>
      </c>
      <c r="HA17" s="491">
        <v>184258824</v>
      </c>
      <c r="HB17" s="305">
        <f t="shared" si="49"/>
        <v>0</v>
      </c>
      <c r="HC17" s="305">
        <f t="shared" si="50"/>
        <v>176905.587</v>
      </c>
      <c r="HD17" s="305">
        <f t="shared" si="51"/>
        <v>184258.82399999999</v>
      </c>
    </row>
    <row r="18" spans="1:212" ht="15" customHeight="1" x14ac:dyDescent="0.2">
      <c r="A18" s="286" t="s">
        <v>417</v>
      </c>
      <c r="B18" s="286" t="s">
        <v>299</v>
      </c>
      <c r="C18" s="286" t="s">
        <v>441</v>
      </c>
      <c r="D18" s="286" t="s">
        <v>322</v>
      </c>
      <c r="E18" s="287">
        <v>0</v>
      </c>
      <c r="F18" s="287">
        <v>995769</v>
      </c>
      <c r="G18" s="287">
        <v>0</v>
      </c>
      <c r="H18" s="371">
        <f t="shared" si="8"/>
        <v>0</v>
      </c>
      <c r="I18" s="371">
        <f t="shared" si="9"/>
        <v>1037.5912980000001</v>
      </c>
      <c r="J18" s="371">
        <f t="shared" si="10"/>
        <v>0</v>
      </c>
      <c r="S18" s="286" t="s">
        <v>417</v>
      </c>
      <c r="T18" s="288" t="s">
        <v>299</v>
      </c>
      <c r="U18" s="286" t="s">
        <v>441</v>
      </c>
      <c r="V18" s="288" t="s">
        <v>322</v>
      </c>
      <c r="W18" s="287">
        <v>0</v>
      </c>
      <c r="X18" s="287">
        <v>1227819</v>
      </c>
      <c r="Y18" s="287">
        <v>995769</v>
      </c>
      <c r="Z18" s="361">
        <f t="shared" si="12"/>
        <v>0</v>
      </c>
      <c r="AA18" s="361">
        <f t="shared" si="13"/>
        <v>1279.3873980000001</v>
      </c>
      <c r="AB18" s="361">
        <f t="shared" si="14"/>
        <v>1037.5912980000001</v>
      </c>
      <c r="AK18" s="286" t="s">
        <v>417</v>
      </c>
      <c r="AL18" s="286" t="s">
        <v>299</v>
      </c>
      <c r="AM18" s="286" t="s">
        <v>419</v>
      </c>
      <c r="AN18" s="286" t="s">
        <v>330</v>
      </c>
      <c r="AO18" s="287">
        <v>0</v>
      </c>
      <c r="AP18" s="287">
        <v>144035314</v>
      </c>
      <c r="AQ18" s="287">
        <v>15109166</v>
      </c>
      <c r="AR18" s="287">
        <f t="shared" si="16"/>
        <v>0</v>
      </c>
      <c r="AS18" s="287">
        <f t="shared" si="17"/>
        <v>144035.31400000001</v>
      </c>
      <c r="AT18" s="287">
        <f t="shared" si="18"/>
        <v>15109.165999999999</v>
      </c>
      <c r="BC18" s="286" t="s">
        <v>417</v>
      </c>
      <c r="BD18" s="286" t="s">
        <v>299</v>
      </c>
      <c r="BE18" s="286" t="s">
        <v>420</v>
      </c>
      <c r="BF18" s="286" t="s">
        <v>320</v>
      </c>
      <c r="BG18" s="287">
        <v>0</v>
      </c>
      <c r="BH18" s="287">
        <v>25908120</v>
      </c>
      <c r="BI18" s="287">
        <v>8636040</v>
      </c>
      <c r="BJ18" s="372">
        <f t="shared" si="20"/>
        <v>0</v>
      </c>
      <c r="BK18" s="372">
        <f t="shared" si="21"/>
        <v>25908.12</v>
      </c>
      <c r="BL18" s="372">
        <f t="shared" si="22"/>
        <v>8636.0400000000009</v>
      </c>
      <c r="BV18" s="286" t="s">
        <v>417</v>
      </c>
      <c r="BW18" s="286" t="s">
        <v>299</v>
      </c>
      <c r="BX18" s="286" t="s">
        <v>429</v>
      </c>
      <c r="BY18" s="286" t="s">
        <v>429</v>
      </c>
      <c r="BZ18" s="287">
        <v>0</v>
      </c>
      <c r="CA18" s="287">
        <v>0</v>
      </c>
      <c r="CB18" s="287">
        <v>0</v>
      </c>
      <c r="CC18" s="287">
        <f t="shared" si="24"/>
        <v>0</v>
      </c>
      <c r="CD18" s="287">
        <f t="shared" si="25"/>
        <v>0</v>
      </c>
      <c r="CE18" s="287">
        <f t="shared" si="26"/>
        <v>0</v>
      </c>
      <c r="CN18" s="286" t="s">
        <v>417</v>
      </c>
      <c r="CO18" s="286" t="s">
        <v>299</v>
      </c>
      <c r="CP18" s="286" t="s">
        <v>429</v>
      </c>
      <c r="CQ18" s="286" t="s">
        <v>429</v>
      </c>
      <c r="CR18" s="287">
        <v>0</v>
      </c>
      <c r="CS18" s="287">
        <v>0</v>
      </c>
      <c r="CT18" s="287">
        <v>0</v>
      </c>
      <c r="CU18" s="287">
        <f t="shared" si="28"/>
        <v>0</v>
      </c>
      <c r="CV18" s="287">
        <f t="shared" si="29"/>
        <v>0</v>
      </c>
      <c r="CW18" s="287">
        <f t="shared" si="30"/>
        <v>0</v>
      </c>
      <c r="DF18" s="286" t="s">
        <v>417</v>
      </c>
      <c r="DG18" s="288" t="s">
        <v>299</v>
      </c>
      <c r="DH18" s="286" t="s">
        <v>418</v>
      </c>
      <c r="DI18" s="288" t="s">
        <v>319</v>
      </c>
      <c r="DJ18" s="287">
        <v>0</v>
      </c>
      <c r="DK18" s="287">
        <v>1164704829</v>
      </c>
      <c r="DL18" s="287">
        <v>1044931923</v>
      </c>
      <c r="DM18" s="371">
        <f t="shared" si="32"/>
        <v>0</v>
      </c>
      <c r="DN18" s="371">
        <f t="shared" si="33"/>
        <v>1164704.8289999999</v>
      </c>
      <c r="DO18" s="371">
        <f t="shared" si="34"/>
        <v>1044931.923</v>
      </c>
      <c r="DX18" s="286" t="s">
        <v>417</v>
      </c>
      <c r="DY18" s="288" t="s">
        <v>299</v>
      </c>
      <c r="DZ18" s="286" t="s">
        <v>441</v>
      </c>
      <c r="EA18" s="288" t="s">
        <v>322</v>
      </c>
      <c r="EB18" s="287">
        <v>0</v>
      </c>
      <c r="EC18" s="287">
        <v>11098926</v>
      </c>
      <c r="ED18" s="287">
        <v>5598926</v>
      </c>
      <c r="EE18" s="287">
        <f t="shared" si="36"/>
        <v>0</v>
      </c>
      <c r="EF18" s="287">
        <f t="shared" si="37"/>
        <v>11098.925999999999</v>
      </c>
      <c r="EG18" s="287">
        <f t="shared" si="38"/>
        <v>5598.9260000000004</v>
      </c>
      <c r="EQ18" s="286" t="s">
        <v>417</v>
      </c>
      <c r="ER18" s="288" t="s">
        <v>299</v>
      </c>
      <c r="ES18" s="286" t="s">
        <v>429</v>
      </c>
      <c r="ET18" s="286" t="s">
        <v>429</v>
      </c>
      <c r="EU18" s="287">
        <v>0</v>
      </c>
      <c r="EV18" s="287">
        <v>0</v>
      </c>
      <c r="EW18" s="287">
        <v>0</v>
      </c>
      <c r="EX18" s="376">
        <f t="shared" si="40"/>
        <v>0</v>
      </c>
      <c r="EY18" s="376">
        <f t="shared" si="41"/>
        <v>0</v>
      </c>
      <c r="EZ18" s="376">
        <f t="shared" si="42"/>
        <v>0</v>
      </c>
      <c r="FK18" s="297" t="s">
        <v>417</v>
      </c>
      <c r="FL18" s="297" t="s">
        <v>299</v>
      </c>
      <c r="FM18" s="297" t="s">
        <v>418</v>
      </c>
      <c r="FN18" s="297" t="s">
        <v>319</v>
      </c>
      <c r="FO18" s="372">
        <v>0</v>
      </c>
      <c r="FP18" s="372">
        <v>1773913764</v>
      </c>
      <c r="FQ18" s="372">
        <v>1171867658</v>
      </c>
      <c r="FR18" s="372">
        <f t="shared" si="43"/>
        <v>0</v>
      </c>
      <c r="FS18" s="372">
        <f t="shared" si="5"/>
        <v>1773913.764</v>
      </c>
      <c r="FT18" s="372">
        <f t="shared" si="5"/>
        <v>1171867.6580000001</v>
      </c>
      <c r="GC18" s="275" t="s">
        <v>417</v>
      </c>
      <c r="GD18" s="275" t="s">
        <v>299</v>
      </c>
      <c r="GE18" s="275" t="s">
        <v>420</v>
      </c>
      <c r="GF18" s="275" t="s">
        <v>320</v>
      </c>
      <c r="GG18" s="372">
        <v>0</v>
      </c>
      <c r="GH18" s="372">
        <v>25908120</v>
      </c>
      <c r="GI18" s="372">
        <v>23749110</v>
      </c>
      <c r="GJ18" s="372">
        <f t="shared" si="45"/>
        <v>0</v>
      </c>
      <c r="GK18" s="372">
        <f t="shared" si="46"/>
        <v>25908.12</v>
      </c>
      <c r="GL18" s="372">
        <f t="shared" si="47"/>
        <v>23749.11</v>
      </c>
      <c r="GN18" s="286" t="s">
        <v>445</v>
      </c>
      <c r="GO18" s="288" t="s">
        <v>446</v>
      </c>
      <c r="GP18" s="286" t="s">
        <v>429</v>
      </c>
      <c r="GQ18" s="286" t="s">
        <v>429</v>
      </c>
      <c r="GR18" s="287">
        <v>74518740</v>
      </c>
      <c r="GS18" s="491">
        <f t="shared" si="48"/>
        <v>74518.740000000005</v>
      </c>
      <c r="GU18" s="275" t="s">
        <v>417</v>
      </c>
      <c r="GV18" s="275" t="s">
        <v>299</v>
      </c>
      <c r="GW18" s="275" t="s">
        <v>418</v>
      </c>
      <c r="GX18" s="275" t="s">
        <v>319</v>
      </c>
      <c r="GY18" s="491">
        <v>0</v>
      </c>
      <c r="GZ18" s="491">
        <v>2255034497</v>
      </c>
      <c r="HA18" s="491">
        <v>2307794645</v>
      </c>
      <c r="HB18" s="305">
        <f t="shared" si="49"/>
        <v>0</v>
      </c>
      <c r="HC18" s="305">
        <f t="shared" si="50"/>
        <v>2255034.497</v>
      </c>
      <c r="HD18" s="305">
        <f t="shared" si="51"/>
        <v>2307794.645</v>
      </c>
    </row>
    <row r="19" spans="1:212" ht="15" customHeight="1" x14ac:dyDescent="0.2">
      <c r="A19" s="286" t="s">
        <v>483</v>
      </c>
      <c r="B19" s="286" t="s">
        <v>498</v>
      </c>
      <c r="C19" s="286" t="s">
        <v>429</v>
      </c>
      <c r="D19" s="286" t="s">
        <v>429</v>
      </c>
      <c r="E19" s="287">
        <v>42435000</v>
      </c>
      <c r="F19" s="287">
        <v>0</v>
      </c>
      <c r="G19" s="287">
        <v>0</v>
      </c>
      <c r="H19" s="371">
        <f t="shared" si="8"/>
        <v>44217.270000000004</v>
      </c>
      <c r="I19" s="371">
        <f t="shared" si="9"/>
        <v>0</v>
      </c>
      <c r="J19" s="371">
        <f t="shared" si="10"/>
        <v>0</v>
      </c>
      <c r="S19" s="286" t="s">
        <v>417</v>
      </c>
      <c r="T19" s="288" t="s">
        <v>299</v>
      </c>
      <c r="U19" s="286" t="s">
        <v>429</v>
      </c>
      <c r="V19" s="288" t="s">
        <v>429</v>
      </c>
      <c r="W19" s="287">
        <v>0</v>
      </c>
      <c r="X19" s="287">
        <v>0</v>
      </c>
      <c r="Y19" s="287">
        <v>0</v>
      </c>
      <c r="Z19" s="361">
        <f t="shared" si="12"/>
        <v>0</v>
      </c>
      <c r="AA19" s="361">
        <f t="shared" si="13"/>
        <v>0</v>
      </c>
      <c r="AB19" s="361">
        <f t="shared" si="14"/>
        <v>0</v>
      </c>
      <c r="AK19" s="286" t="s">
        <v>417</v>
      </c>
      <c r="AL19" s="286" t="s">
        <v>299</v>
      </c>
      <c r="AM19" s="286" t="s">
        <v>420</v>
      </c>
      <c r="AN19" s="286" t="s">
        <v>320</v>
      </c>
      <c r="AO19" s="287">
        <v>0</v>
      </c>
      <c r="AP19" s="287">
        <v>25908120</v>
      </c>
      <c r="AQ19" s="287">
        <v>6477030</v>
      </c>
      <c r="AR19" s="287">
        <f t="shared" si="16"/>
        <v>0</v>
      </c>
      <c r="AS19" s="287">
        <f t="shared" si="17"/>
        <v>25908.12</v>
      </c>
      <c r="AT19" s="287">
        <f t="shared" si="18"/>
        <v>6477.03</v>
      </c>
      <c r="BC19" s="286" t="s">
        <v>417</v>
      </c>
      <c r="BD19" s="286" t="s">
        <v>299</v>
      </c>
      <c r="BE19" s="286" t="s">
        <v>441</v>
      </c>
      <c r="BF19" s="286" t="s">
        <v>322</v>
      </c>
      <c r="BG19" s="287">
        <v>0</v>
      </c>
      <c r="BH19" s="287">
        <v>11098926</v>
      </c>
      <c r="BI19" s="287">
        <v>2307006</v>
      </c>
      <c r="BJ19" s="372">
        <f t="shared" si="20"/>
        <v>0</v>
      </c>
      <c r="BK19" s="372">
        <f t="shared" si="21"/>
        <v>11098.925999999999</v>
      </c>
      <c r="BL19" s="372">
        <f t="shared" si="22"/>
        <v>2307.0059999999999</v>
      </c>
      <c r="BV19" s="286" t="s">
        <v>417</v>
      </c>
      <c r="BW19" s="286" t="s">
        <v>299</v>
      </c>
      <c r="BX19" s="286" t="s">
        <v>418</v>
      </c>
      <c r="BY19" s="286" t="s">
        <v>319</v>
      </c>
      <c r="BZ19" s="287">
        <v>0</v>
      </c>
      <c r="CA19" s="287">
        <v>1332425332</v>
      </c>
      <c r="CB19" s="287">
        <v>788775941</v>
      </c>
      <c r="CC19" s="287">
        <f t="shared" si="24"/>
        <v>0</v>
      </c>
      <c r="CD19" s="287">
        <f t="shared" si="25"/>
        <v>1332425.3319999999</v>
      </c>
      <c r="CE19" s="287">
        <f t="shared" si="26"/>
        <v>788775.94099999999</v>
      </c>
      <c r="CN19" s="286" t="s">
        <v>417</v>
      </c>
      <c r="CO19" s="286" t="s">
        <v>299</v>
      </c>
      <c r="CP19" s="286" t="s">
        <v>419</v>
      </c>
      <c r="CQ19" s="286" t="s">
        <v>330</v>
      </c>
      <c r="CR19" s="287">
        <v>0</v>
      </c>
      <c r="CS19" s="287">
        <v>112737439</v>
      </c>
      <c r="CT19" s="287">
        <v>53800301</v>
      </c>
      <c r="CU19" s="287">
        <f t="shared" si="28"/>
        <v>0</v>
      </c>
      <c r="CV19" s="287">
        <f t="shared" si="29"/>
        <v>112737.439</v>
      </c>
      <c r="CW19" s="287">
        <f t="shared" si="30"/>
        <v>53800.300999999999</v>
      </c>
      <c r="DF19" s="286" t="s">
        <v>417</v>
      </c>
      <c r="DG19" s="288" t="s">
        <v>299</v>
      </c>
      <c r="DH19" s="286" t="s">
        <v>441</v>
      </c>
      <c r="DI19" s="288" t="s">
        <v>322</v>
      </c>
      <c r="DJ19" s="287">
        <v>0</v>
      </c>
      <c r="DK19" s="287">
        <v>11098926</v>
      </c>
      <c r="DL19" s="287">
        <v>5598926</v>
      </c>
      <c r="DM19" s="371">
        <f t="shared" si="32"/>
        <v>0</v>
      </c>
      <c r="DN19" s="371">
        <f t="shared" si="33"/>
        <v>11098.925999999999</v>
      </c>
      <c r="DO19" s="371">
        <f t="shared" si="34"/>
        <v>5598.9260000000004</v>
      </c>
      <c r="DX19" s="286" t="s">
        <v>417</v>
      </c>
      <c r="DY19" s="288" t="s">
        <v>299</v>
      </c>
      <c r="DZ19" s="286" t="s">
        <v>420</v>
      </c>
      <c r="EA19" s="288" t="s">
        <v>320</v>
      </c>
      <c r="EB19" s="287">
        <v>0</v>
      </c>
      <c r="EC19" s="287">
        <v>25908120</v>
      </c>
      <c r="ED19" s="287">
        <v>17272080</v>
      </c>
      <c r="EE19" s="287">
        <f t="shared" si="36"/>
        <v>0</v>
      </c>
      <c r="EF19" s="287">
        <f t="shared" si="37"/>
        <v>25908.12</v>
      </c>
      <c r="EG19" s="287">
        <f t="shared" si="38"/>
        <v>17272.080000000002</v>
      </c>
      <c r="EQ19" s="286" t="s">
        <v>417</v>
      </c>
      <c r="ER19" s="288" t="s">
        <v>299</v>
      </c>
      <c r="ES19" s="286" t="s">
        <v>420</v>
      </c>
      <c r="ET19" s="286" t="s">
        <v>320</v>
      </c>
      <c r="EU19" s="287">
        <v>0</v>
      </c>
      <c r="EV19" s="287">
        <v>19431090</v>
      </c>
      <c r="EW19" s="287">
        <v>25908120</v>
      </c>
      <c r="EX19" s="376">
        <f t="shared" si="40"/>
        <v>0</v>
      </c>
      <c r="EY19" s="376">
        <f t="shared" si="41"/>
        <v>19431.09</v>
      </c>
      <c r="EZ19" s="376">
        <f t="shared" si="42"/>
        <v>25908.12</v>
      </c>
      <c r="FK19" s="297" t="s">
        <v>417</v>
      </c>
      <c r="FL19" s="297" t="s">
        <v>299</v>
      </c>
      <c r="FM19" s="297" t="s">
        <v>420</v>
      </c>
      <c r="FN19" s="297" t="s">
        <v>320</v>
      </c>
      <c r="FO19" s="372">
        <v>0</v>
      </c>
      <c r="FP19" s="372">
        <v>25908120</v>
      </c>
      <c r="FQ19" s="372">
        <v>21590100</v>
      </c>
      <c r="FR19" s="372">
        <f t="shared" si="43"/>
        <v>0</v>
      </c>
      <c r="FS19" s="372">
        <f t="shared" ref="FS19:FS53" si="52">FP19/$FR$1*$FS$1</f>
        <v>25908.12</v>
      </c>
      <c r="FT19" s="372">
        <f t="shared" ref="FT19:FT53" si="53">FQ19/$FR$1*$FS$1</f>
        <v>21590.1</v>
      </c>
      <c r="GC19" s="275" t="s">
        <v>417</v>
      </c>
      <c r="GD19" s="275" t="s">
        <v>299</v>
      </c>
      <c r="GE19" s="275" t="s">
        <v>418</v>
      </c>
      <c r="GF19" s="275" t="s">
        <v>319</v>
      </c>
      <c r="GG19" s="372">
        <v>0</v>
      </c>
      <c r="GH19" s="372">
        <v>2153111473</v>
      </c>
      <c r="GI19" s="372">
        <v>1661999983</v>
      </c>
      <c r="GJ19" s="372">
        <f t="shared" si="45"/>
        <v>0</v>
      </c>
      <c r="GK19" s="372">
        <f t="shared" si="46"/>
        <v>2153111.4730000002</v>
      </c>
      <c r="GL19" s="372">
        <f t="shared" si="47"/>
        <v>1661999.983</v>
      </c>
      <c r="GN19" s="286" t="s">
        <v>504</v>
      </c>
      <c r="GO19" s="288" t="s">
        <v>507</v>
      </c>
      <c r="GP19" s="286" t="s">
        <v>429</v>
      </c>
      <c r="GQ19" s="286" t="s">
        <v>429</v>
      </c>
      <c r="GR19" s="287">
        <v>23990400</v>
      </c>
      <c r="GS19" s="491">
        <f t="shared" si="48"/>
        <v>23990.400000000001</v>
      </c>
      <c r="GU19" s="275" t="s">
        <v>417</v>
      </c>
      <c r="GV19" s="275" t="s">
        <v>299</v>
      </c>
      <c r="GW19" s="275" t="s">
        <v>429</v>
      </c>
      <c r="GX19" s="275" t="s">
        <v>429</v>
      </c>
      <c r="GY19" s="491">
        <v>0</v>
      </c>
      <c r="GZ19" s="491">
        <v>0</v>
      </c>
      <c r="HA19" s="491">
        <v>0</v>
      </c>
      <c r="HB19" s="305">
        <f t="shared" si="49"/>
        <v>0</v>
      </c>
      <c r="HC19" s="305">
        <f t="shared" si="50"/>
        <v>0</v>
      </c>
      <c r="HD19" s="305">
        <f t="shared" si="51"/>
        <v>0</v>
      </c>
    </row>
    <row r="20" spans="1:212" ht="15" customHeight="1" x14ac:dyDescent="0.2">
      <c r="A20" s="286" t="s">
        <v>421</v>
      </c>
      <c r="B20" s="286" t="s">
        <v>326</v>
      </c>
      <c r="C20" s="286" t="s">
        <v>476</v>
      </c>
      <c r="D20" s="286" t="s">
        <v>592</v>
      </c>
      <c r="E20" s="287">
        <v>524827000</v>
      </c>
      <c r="F20" s="287">
        <v>0</v>
      </c>
      <c r="G20" s="287">
        <v>0</v>
      </c>
      <c r="H20" s="371">
        <f t="shared" si="8"/>
        <v>546869.73400000005</v>
      </c>
      <c r="I20" s="371">
        <f t="shared" si="9"/>
        <v>0</v>
      </c>
      <c r="J20" s="371">
        <f t="shared" si="10"/>
        <v>0</v>
      </c>
      <c r="S20" s="286" t="s">
        <v>483</v>
      </c>
      <c r="T20" s="288" t="s">
        <v>498</v>
      </c>
      <c r="U20" s="286" t="s">
        <v>429</v>
      </c>
      <c r="V20" s="288" t="s">
        <v>429</v>
      </c>
      <c r="W20" s="287">
        <v>42435000</v>
      </c>
      <c r="X20" s="287">
        <v>0</v>
      </c>
      <c r="Y20" s="287">
        <v>0</v>
      </c>
      <c r="Z20" s="361">
        <f t="shared" si="12"/>
        <v>44217.270000000004</v>
      </c>
      <c r="AA20" s="361">
        <f t="shared" si="13"/>
        <v>0</v>
      </c>
      <c r="AB20" s="361">
        <f t="shared" si="14"/>
        <v>0</v>
      </c>
      <c r="AK20" s="286" t="s">
        <v>483</v>
      </c>
      <c r="AL20" s="286" t="s">
        <v>498</v>
      </c>
      <c r="AM20" s="286" t="s">
        <v>429</v>
      </c>
      <c r="AN20" s="286" t="s">
        <v>429</v>
      </c>
      <c r="AO20" s="287">
        <v>42435000</v>
      </c>
      <c r="AP20" s="287">
        <v>0</v>
      </c>
      <c r="AQ20" s="287">
        <v>0</v>
      </c>
      <c r="AR20" s="287">
        <f t="shared" si="16"/>
        <v>42435</v>
      </c>
      <c r="AS20" s="287">
        <f t="shared" si="17"/>
        <v>0</v>
      </c>
      <c r="AT20" s="287">
        <f t="shared" si="18"/>
        <v>0</v>
      </c>
      <c r="BC20" s="286" t="s">
        <v>483</v>
      </c>
      <c r="BD20" s="286" t="s">
        <v>498</v>
      </c>
      <c r="BE20" s="286" t="s">
        <v>429</v>
      </c>
      <c r="BF20" s="286" t="s">
        <v>429</v>
      </c>
      <c r="BG20" s="287">
        <v>42435000</v>
      </c>
      <c r="BH20" s="287">
        <v>0</v>
      </c>
      <c r="BI20" s="287">
        <v>0</v>
      </c>
      <c r="BJ20" s="372">
        <f t="shared" si="20"/>
        <v>42435</v>
      </c>
      <c r="BK20" s="372">
        <f t="shared" si="21"/>
        <v>0</v>
      </c>
      <c r="BL20" s="372">
        <f t="shared" si="22"/>
        <v>0</v>
      </c>
      <c r="BV20" s="286" t="s">
        <v>483</v>
      </c>
      <c r="BW20" s="286" t="s">
        <v>498</v>
      </c>
      <c r="BX20" s="286" t="s">
        <v>429</v>
      </c>
      <c r="BY20" s="286" t="s">
        <v>429</v>
      </c>
      <c r="BZ20" s="287">
        <v>42435000</v>
      </c>
      <c r="CA20" s="287">
        <v>0</v>
      </c>
      <c r="CB20" s="287">
        <v>0</v>
      </c>
      <c r="CC20" s="287">
        <f t="shared" si="24"/>
        <v>42435</v>
      </c>
      <c r="CD20" s="287">
        <f t="shared" si="25"/>
        <v>0</v>
      </c>
      <c r="CE20" s="287">
        <f t="shared" si="26"/>
        <v>0</v>
      </c>
      <c r="CN20" s="286" t="s">
        <v>483</v>
      </c>
      <c r="CO20" s="286" t="s">
        <v>498</v>
      </c>
      <c r="CP20" s="286" t="s">
        <v>429</v>
      </c>
      <c r="CQ20" s="286" t="s">
        <v>429</v>
      </c>
      <c r="CR20" s="287">
        <v>42435000</v>
      </c>
      <c r="CS20" s="287">
        <v>0</v>
      </c>
      <c r="CT20" s="287">
        <v>0</v>
      </c>
      <c r="CU20" s="287">
        <f t="shared" si="28"/>
        <v>42435</v>
      </c>
      <c r="CV20" s="287">
        <f t="shared" si="29"/>
        <v>0</v>
      </c>
      <c r="CW20" s="287">
        <f t="shared" si="30"/>
        <v>0</v>
      </c>
      <c r="DF20" s="286" t="s">
        <v>483</v>
      </c>
      <c r="DG20" s="288" t="s">
        <v>498</v>
      </c>
      <c r="DH20" s="286" t="s">
        <v>429</v>
      </c>
      <c r="DI20" s="288" t="s">
        <v>429</v>
      </c>
      <c r="DJ20" s="287">
        <v>42435000</v>
      </c>
      <c r="DK20" s="287">
        <v>0</v>
      </c>
      <c r="DL20" s="287">
        <v>0</v>
      </c>
      <c r="DM20" s="371">
        <f t="shared" si="32"/>
        <v>42435</v>
      </c>
      <c r="DN20" s="371">
        <f t="shared" si="33"/>
        <v>0</v>
      </c>
      <c r="DO20" s="371">
        <f t="shared" si="34"/>
        <v>0</v>
      </c>
      <c r="DX20" s="286" t="s">
        <v>417</v>
      </c>
      <c r="DY20" s="288" t="s">
        <v>299</v>
      </c>
      <c r="DZ20" s="286" t="s">
        <v>418</v>
      </c>
      <c r="EA20" s="288" t="s">
        <v>319</v>
      </c>
      <c r="EB20" s="287">
        <v>0</v>
      </c>
      <c r="EC20" s="287">
        <v>1110999073</v>
      </c>
      <c r="ED20" s="287">
        <v>1068998073</v>
      </c>
      <c r="EE20" s="287">
        <f t="shared" si="36"/>
        <v>0</v>
      </c>
      <c r="EF20" s="287">
        <f t="shared" si="37"/>
        <v>1110999.0730000001</v>
      </c>
      <c r="EG20" s="287">
        <f t="shared" si="38"/>
        <v>1068998.0730000001</v>
      </c>
      <c r="EQ20" s="286" t="s">
        <v>417</v>
      </c>
      <c r="ER20" s="288" t="s">
        <v>299</v>
      </c>
      <c r="ES20" s="286" t="s">
        <v>441</v>
      </c>
      <c r="ET20" s="286" t="s">
        <v>322</v>
      </c>
      <c r="EU20" s="287">
        <v>0</v>
      </c>
      <c r="EV20" s="287">
        <v>5598926</v>
      </c>
      <c r="EW20" s="287">
        <v>11375601</v>
      </c>
      <c r="EX20" s="376">
        <f t="shared" si="40"/>
        <v>0</v>
      </c>
      <c r="EY20" s="376">
        <f t="shared" si="41"/>
        <v>5598.9260000000004</v>
      </c>
      <c r="EZ20" s="376">
        <f t="shared" si="42"/>
        <v>11375.601000000001</v>
      </c>
      <c r="FK20" s="297" t="s">
        <v>417</v>
      </c>
      <c r="FL20" s="297" t="s">
        <v>299</v>
      </c>
      <c r="FM20" s="297" t="s">
        <v>441</v>
      </c>
      <c r="FN20" s="297" t="s">
        <v>322</v>
      </c>
      <c r="FO20" s="372">
        <v>0</v>
      </c>
      <c r="FP20" s="372">
        <v>12114330</v>
      </c>
      <c r="FQ20" s="372">
        <v>9445601</v>
      </c>
      <c r="FR20" s="372">
        <f t="shared" si="43"/>
        <v>0</v>
      </c>
      <c r="FS20" s="372">
        <f t="shared" si="52"/>
        <v>12114.33</v>
      </c>
      <c r="FT20" s="372">
        <f t="shared" si="53"/>
        <v>9445.6010000000006</v>
      </c>
      <c r="GC20" s="275" t="s">
        <v>417</v>
      </c>
      <c r="GD20" s="275" t="s">
        <v>299</v>
      </c>
      <c r="GE20" s="275" t="s">
        <v>419</v>
      </c>
      <c r="GF20" s="275" t="s">
        <v>330</v>
      </c>
      <c r="GG20" s="372">
        <v>0</v>
      </c>
      <c r="GH20" s="372">
        <v>184905039</v>
      </c>
      <c r="GI20" s="372">
        <v>125642026</v>
      </c>
      <c r="GJ20" s="372">
        <f t="shared" si="45"/>
        <v>0</v>
      </c>
      <c r="GK20" s="372">
        <f t="shared" si="46"/>
        <v>184905.03899999999</v>
      </c>
      <c r="GL20" s="372">
        <f t="shared" si="47"/>
        <v>125642.026</v>
      </c>
      <c r="GN20" s="286" t="s">
        <v>614</v>
      </c>
      <c r="GO20" s="288" t="s">
        <v>615</v>
      </c>
      <c r="GP20" s="286" t="s">
        <v>429</v>
      </c>
      <c r="GQ20" s="286" t="s">
        <v>429</v>
      </c>
      <c r="GR20" s="287">
        <v>6208998</v>
      </c>
      <c r="GS20" s="491">
        <f t="shared" si="48"/>
        <v>6208.9979999999996</v>
      </c>
      <c r="GU20" s="275" t="s">
        <v>417</v>
      </c>
      <c r="GV20" s="275" t="s">
        <v>299</v>
      </c>
      <c r="GW20" s="275" t="s">
        <v>420</v>
      </c>
      <c r="GX20" s="275" t="s">
        <v>320</v>
      </c>
      <c r="GY20" s="491">
        <v>0</v>
      </c>
      <c r="GZ20" s="491">
        <v>25908120</v>
      </c>
      <c r="HA20" s="491">
        <v>25908120</v>
      </c>
      <c r="HB20" s="305">
        <f t="shared" si="49"/>
        <v>0</v>
      </c>
      <c r="HC20" s="305">
        <f t="shared" si="50"/>
        <v>25908.12</v>
      </c>
      <c r="HD20" s="305">
        <f t="shared" si="51"/>
        <v>25908.12</v>
      </c>
    </row>
    <row r="21" spans="1:212" ht="15" customHeight="1" x14ac:dyDescent="0.2">
      <c r="A21" s="286" t="s">
        <v>421</v>
      </c>
      <c r="B21" s="286" t="s">
        <v>326</v>
      </c>
      <c r="C21" s="286" t="s">
        <v>467</v>
      </c>
      <c r="D21" s="286" t="s">
        <v>591</v>
      </c>
      <c r="E21" s="287">
        <v>340000000</v>
      </c>
      <c r="F21" s="287">
        <v>0</v>
      </c>
      <c r="G21" s="287">
        <v>0</v>
      </c>
      <c r="H21" s="371">
        <f t="shared" si="8"/>
        <v>354280</v>
      </c>
      <c r="I21" s="371">
        <f t="shared" si="9"/>
        <v>0</v>
      </c>
      <c r="J21" s="371">
        <f t="shared" si="10"/>
        <v>0</v>
      </c>
      <c r="S21" s="286" t="s">
        <v>421</v>
      </c>
      <c r="T21" s="288" t="s">
        <v>326</v>
      </c>
      <c r="U21" s="286" t="s">
        <v>476</v>
      </c>
      <c r="V21" s="288" t="s">
        <v>592</v>
      </c>
      <c r="W21" s="287">
        <v>524827000</v>
      </c>
      <c r="X21" s="287">
        <v>0</v>
      </c>
      <c r="Y21" s="287">
        <v>0</v>
      </c>
      <c r="Z21" s="361">
        <f t="shared" si="12"/>
        <v>546869.73400000005</v>
      </c>
      <c r="AA21" s="361">
        <f t="shared" si="13"/>
        <v>0</v>
      </c>
      <c r="AB21" s="361">
        <f t="shared" si="14"/>
        <v>0</v>
      </c>
      <c r="AK21" s="286" t="s">
        <v>421</v>
      </c>
      <c r="AL21" s="286" t="s">
        <v>326</v>
      </c>
      <c r="AM21" s="286" t="s">
        <v>476</v>
      </c>
      <c r="AN21" s="286" t="s">
        <v>592</v>
      </c>
      <c r="AO21" s="287">
        <v>524827000</v>
      </c>
      <c r="AP21" s="287">
        <v>0</v>
      </c>
      <c r="AQ21" s="287">
        <v>0</v>
      </c>
      <c r="AR21" s="287">
        <f t="shared" si="16"/>
        <v>524827</v>
      </c>
      <c r="AS21" s="287">
        <f t="shared" si="17"/>
        <v>0</v>
      </c>
      <c r="AT21" s="287">
        <f t="shared" si="18"/>
        <v>0</v>
      </c>
      <c r="BC21" s="286" t="s">
        <v>421</v>
      </c>
      <c r="BD21" s="286" t="s">
        <v>326</v>
      </c>
      <c r="BE21" s="286" t="s">
        <v>476</v>
      </c>
      <c r="BF21" s="286" t="s">
        <v>592</v>
      </c>
      <c r="BG21" s="287">
        <v>524827000</v>
      </c>
      <c r="BH21" s="287">
        <v>0</v>
      </c>
      <c r="BI21" s="287">
        <v>0</v>
      </c>
      <c r="BJ21" s="372">
        <f t="shared" si="20"/>
        <v>524827</v>
      </c>
      <c r="BK21" s="372">
        <f t="shared" si="21"/>
        <v>0</v>
      </c>
      <c r="BL21" s="372">
        <f t="shared" si="22"/>
        <v>0</v>
      </c>
      <c r="BV21" s="286" t="s">
        <v>421</v>
      </c>
      <c r="BW21" s="286" t="s">
        <v>326</v>
      </c>
      <c r="BX21" s="286" t="s">
        <v>476</v>
      </c>
      <c r="BY21" s="286" t="s">
        <v>592</v>
      </c>
      <c r="BZ21" s="287">
        <v>524827000</v>
      </c>
      <c r="CA21" s="287">
        <v>0</v>
      </c>
      <c r="CB21" s="287">
        <v>0</v>
      </c>
      <c r="CC21" s="287">
        <f t="shared" si="24"/>
        <v>524827</v>
      </c>
      <c r="CD21" s="287">
        <f t="shared" si="25"/>
        <v>0</v>
      </c>
      <c r="CE21" s="287">
        <f t="shared" si="26"/>
        <v>0</v>
      </c>
      <c r="CN21" s="286" t="s">
        <v>421</v>
      </c>
      <c r="CO21" s="286" t="s">
        <v>326</v>
      </c>
      <c r="CP21" s="286" t="s">
        <v>476</v>
      </c>
      <c r="CQ21" s="286" t="s">
        <v>592</v>
      </c>
      <c r="CR21" s="287">
        <v>524827000</v>
      </c>
      <c r="CS21" s="287">
        <v>0</v>
      </c>
      <c r="CT21" s="287">
        <v>0</v>
      </c>
      <c r="CU21" s="287">
        <f t="shared" si="28"/>
        <v>524827</v>
      </c>
      <c r="CV21" s="287">
        <f t="shared" si="29"/>
        <v>0</v>
      </c>
      <c r="CW21" s="287">
        <f t="shared" si="30"/>
        <v>0</v>
      </c>
      <c r="DF21" s="286" t="s">
        <v>421</v>
      </c>
      <c r="DG21" s="288" t="s">
        <v>326</v>
      </c>
      <c r="DH21" s="286" t="s">
        <v>476</v>
      </c>
      <c r="DI21" s="288" t="s">
        <v>592</v>
      </c>
      <c r="DJ21" s="287">
        <v>474827000</v>
      </c>
      <c r="DK21" s="287">
        <v>0</v>
      </c>
      <c r="DL21" s="287">
        <v>0</v>
      </c>
      <c r="DM21" s="371">
        <f t="shared" si="32"/>
        <v>474827</v>
      </c>
      <c r="DN21" s="371">
        <f t="shared" si="33"/>
        <v>0</v>
      </c>
      <c r="DO21" s="371">
        <f t="shared" si="34"/>
        <v>0</v>
      </c>
      <c r="DX21" s="286" t="s">
        <v>483</v>
      </c>
      <c r="DY21" s="288" t="s">
        <v>498</v>
      </c>
      <c r="DZ21" s="286" t="s">
        <v>429</v>
      </c>
      <c r="EA21" s="288" t="s">
        <v>429</v>
      </c>
      <c r="EB21" s="287">
        <v>42435000</v>
      </c>
      <c r="EC21" s="287">
        <v>0</v>
      </c>
      <c r="ED21" s="287">
        <v>0</v>
      </c>
      <c r="EE21" s="287">
        <f t="shared" si="36"/>
        <v>42435</v>
      </c>
      <c r="EF21" s="287">
        <f t="shared" si="37"/>
        <v>0</v>
      </c>
      <c r="EG21" s="287">
        <f t="shared" si="38"/>
        <v>0</v>
      </c>
      <c r="EQ21" s="286" t="s">
        <v>483</v>
      </c>
      <c r="ER21" s="288" t="s">
        <v>498</v>
      </c>
      <c r="ES21" s="286" t="s">
        <v>429</v>
      </c>
      <c r="ET21" s="286" t="s">
        <v>429</v>
      </c>
      <c r="EU21" s="287">
        <v>42435000</v>
      </c>
      <c r="EV21" s="287">
        <v>0</v>
      </c>
      <c r="EW21" s="287">
        <v>0</v>
      </c>
      <c r="EX21" s="376">
        <f t="shared" si="40"/>
        <v>42435</v>
      </c>
      <c r="EY21" s="376">
        <f t="shared" si="41"/>
        <v>0</v>
      </c>
      <c r="EZ21" s="376">
        <f t="shared" si="42"/>
        <v>0</v>
      </c>
      <c r="FF21" s="275"/>
      <c r="FG21" s="275"/>
      <c r="FH21" s="275"/>
      <c r="FK21" s="297" t="s">
        <v>483</v>
      </c>
      <c r="FL21" s="297" t="s">
        <v>498</v>
      </c>
      <c r="FM21" s="297" t="s">
        <v>429</v>
      </c>
      <c r="FN21" s="297" t="s">
        <v>429</v>
      </c>
      <c r="FO21" s="372">
        <v>42435000</v>
      </c>
      <c r="FP21" s="372">
        <v>0</v>
      </c>
      <c r="FQ21" s="372">
        <v>0</v>
      </c>
      <c r="FR21" s="372">
        <f t="shared" si="43"/>
        <v>42435</v>
      </c>
      <c r="FS21" s="372">
        <f t="shared" si="52"/>
        <v>0</v>
      </c>
      <c r="FT21" s="372">
        <f t="shared" si="53"/>
        <v>0</v>
      </c>
      <c r="GC21" s="275" t="s">
        <v>417</v>
      </c>
      <c r="GD21" s="275" t="s">
        <v>299</v>
      </c>
      <c r="GE21" s="275" t="s">
        <v>440</v>
      </c>
      <c r="GF21" s="275" t="s">
        <v>321</v>
      </c>
      <c r="GG21" s="372">
        <v>0</v>
      </c>
      <c r="GH21" s="372">
        <v>0</v>
      </c>
      <c r="GI21" s="372">
        <v>0</v>
      </c>
      <c r="GJ21" s="372">
        <f t="shared" si="45"/>
        <v>0</v>
      </c>
      <c r="GK21" s="372">
        <f t="shared" si="46"/>
        <v>0</v>
      </c>
      <c r="GL21" s="372">
        <f t="shared" si="47"/>
        <v>0</v>
      </c>
      <c r="GN21" s="286" t="s">
        <v>616</v>
      </c>
      <c r="GO21" s="288" t="s">
        <v>617</v>
      </c>
      <c r="GP21" s="286" t="s">
        <v>429</v>
      </c>
      <c r="GQ21" s="286" t="s">
        <v>429</v>
      </c>
      <c r="GR21" s="287">
        <v>41284336</v>
      </c>
      <c r="GS21" s="491">
        <f t="shared" si="48"/>
        <v>41284.336000000003</v>
      </c>
      <c r="GU21" s="275" t="s">
        <v>417</v>
      </c>
      <c r="GV21" s="275" t="s">
        <v>299</v>
      </c>
      <c r="GW21" s="275" t="s">
        <v>440</v>
      </c>
      <c r="GX21" s="275" t="s">
        <v>321</v>
      </c>
      <c r="GY21" s="491">
        <v>0</v>
      </c>
      <c r="GZ21" s="491">
        <v>0</v>
      </c>
      <c r="HA21" s="491">
        <v>0</v>
      </c>
      <c r="HB21" s="305">
        <f t="shared" si="49"/>
        <v>0</v>
      </c>
      <c r="HC21" s="305">
        <f t="shared" si="50"/>
        <v>0</v>
      </c>
      <c r="HD21" s="305">
        <f t="shared" si="51"/>
        <v>0</v>
      </c>
    </row>
    <row r="22" spans="1:212" ht="15" customHeight="1" x14ac:dyDescent="0.2">
      <c r="A22" s="286" t="s">
        <v>421</v>
      </c>
      <c r="B22" s="286" t="s">
        <v>326</v>
      </c>
      <c r="C22" s="286" t="s">
        <v>442</v>
      </c>
      <c r="D22" s="286" t="s">
        <v>593</v>
      </c>
      <c r="E22" s="287">
        <v>285000000</v>
      </c>
      <c r="F22" s="287">
        <v>0</v>
      </c>
      <c r="G22" s="287">
        <v>0</v>
      </c>
      <c r="H22" s="371">
        <f t="shared" si="8"/>
        <v>296970</v>
      </c>
      <c r="I22" s="371">
        <f t="shared" si="9"/>
        <v>0</v>
      </c>
      <c r="J22" s="371">
        <f t="shared" si="10"/>
        <v>0</v>
      </c>
      <c r="S22" s="286" t="s">
        <v>421</v>
      </c>
      <c r="T22" s="288" t="s">
        <v>326</v>
      </c>
      <c r="U22" s="286" t="s">
        <v>467</v>
      </c>
      <c r="V22" s="288" t="s">
        <v>591</v>
      </c>
      <c r="W22" s="287">
        <v>340000000</v>
      </c>
      <c r="X22" s="287">
        <v>0</v>
      </c>
      <c r="Y22" s="287">
        <v>0</v>
      </c>
      <c r="Z22" s="361">
        <f t="shared" si="12"/>
        <v>354280</v>
      </c>
      <c r="AA22" s="361">
        <f t="shared" si="13"/>
        <v>0</v>
      </c>
      <c r="AB22" s="361">
        <f t="shared" si="14"/>
        <v>0</v>
      </c>
      <c r="AK22" s="286" t="s">
        <v>421</v>
      </c>
      <c r="AL22" s="286" t="s">
        <v>326</v>
      </c>
      <c r="AM22" s="286" t="s">
        <v>467</v>
      </c>
      <c r="AN22" s="286" t="s">
        <v>591</v>
      </c>
      <c r="AO22" s="287">
        <v>340000000</v>
      </c>
      <c r="AP22" s="287">
        <v>0</v>
      </c>
      <c r="AQ22" s="287">
        <v>0</v>
      </c>
      <c r="AR22" s="287">
        <f t="shared" si="16"/>
        <v>340000</v>
      </c>
      <c r="AS22" s="287">
        <f t="shared" si="17"/>
        <v>0</v>
      </c>
      <c r="AT22" s="287">
        <f t="shared" si="18"/>
        <v>0</v>
      </c>
      <c r="BC22" s="286" t="s">
        <v>421</v>
      </c>
      <c r="BD22" s="286" t="s">
        <v>326</v>
      </c>
      <c r="BE22" s="286" t="s">
        <v>467</v>
      </c>
      <c r="BF22" s="286" t="s">
        <v>591</v>
      </c>
      <c r="BG22" s="287">
        <v>340000000</v>
      </c>
      <c r="BH22" s="287">
        <v>0</v>
      </c>
      <c r="BI22" s="287">
        <v>0</v>
      </c>
      <c r="BJ22" s="372">
        <f t="shared" si="20"/>
        <v>340000</v>
      </c>
      <c r="BK22" s="372">
        <f t="shared" si="21"/>
        <v>0</v>
      </c>
      <c r="BL22" s="372">
        <f t="shared" si="22"/>
        <v>0</v>
      </c>
      <c r="BV22" s="286" t="s">
        <v>421</v>
      </c>
      <c r="BW22" s="286" t="s">
        <v>326</v>
      </c>
      <c r="BX22" s="286" t="s">
        <v>467</v>
      </c>
      <c r="BY22" s="286" t="s">
        <v>591</v>
      </c>
      <c r="BZ22" s="287">
        <v>340000000</v>
      </c>
      <c r="CA22" s="287">
        <v>0</v>
      </c>
      <c r="CB22" s="287">
        <v>0</v>
      </c>
      <c r="CC22" s="287">
        <f t="shared" si="24"/>
        <v>340000</v>
      </c>
      <c r="CD22" s="287">
        <f t="shared" si="25"/>
        <v>0</v>
      </c>
      <c r="CE22" s="287">
        <f t="shared" si="26"/>
        <v>0</v>
      </c>
      <c r="CN22" s="286" t="s">
        <v>421</v>
      </c>
      <c r="CO22" s="286" t="s">
        <v>326</v>
      </c>
      <c r="CP22" s="286" t="s">
        <v>467</v>
      </c>
      <c r="CQ22" s="286" t="s">
        <v>591</v>
      </c>
      <c r="CR22" s="287">
        <v>340000000</v>
      </c>
      <c r="CS22" s="287">
        <v>0</v>
      </c>
      <c r="CT22" s="287">
        <v>0</v>
      </c>
      <c r="CU22" s="287">
        <f t="shared" si="28"/>
        <v>340000</v>
      </c>
      <c r="CV22" s="287">
        <f t="shared" si="29"/>
        <v>0</v>
      </c>
      <c r="CW22" s="287">
        <f t="shared" si="30"/>
        <v>0</v>
      </c>
      <c r="DF22" s="286" t="s">
        <v>421</v>
      </c>
      <c r="DG22" s="288" t="s">
        <v>326</v>
      </c>
      <c r="DH22" s="286" t="s">
        <v>467</v>
      </c>
      <c r="DI22" s="288" t="s">
        <v>591</v>
      </c>
      <c r="DJ22" s="287">
        <v>390000000</v>
      </c>
      <c r="DK22" s="287">
        <v>0</v>
      </c>
      <c r="DL22" s="287">
        <v>0</v>
      </c>
      <c r="DM22" s="371">
        <f t="shared" si="32"/>
        <v>390000</v>
      </c>
      <c r="DN22" s="371">
        <f t="shared" si="33"/>
        <v>0</v>
      </c>
      <c r="DO22" s="371">
        <f t="shared" si="34"/>
        <v>0</v>
      </c>
      <c r="DX22" s="286" t="s">
        <v>421</v>
      </c>
      <c r="DY22" s="288" t="s">
        <v>326</v>
      </c>
      <c r="DZ22" s="286" t="s">
        <v>467</v>
      </c>
      <c r="EA22" s="288" t="s">
        <v>591</v>
      </c>
      <c r="EB22" s="287">
        <v>705565000</v>
      </c>
      <c r="EC22" s="287">
        <v>0</v>
      </c>
      <c r="ED22" s="287">
        <v>0</v>
      </c>
      <c r="EE22" s="287">
        <f t="shared" si="36"/>
        <v>705565</v>
      </c>
      <c r="EF22" s="287">
        <f t="shared" si="37"/>
        <v>0</v>
      </c>
      <c r="EG22" s="287">
        <f t="shared" si="38"/>
        <v>0</v>
      </c>
      <c r="EQ22" s="286" t="s">
        <v>421</v>
      </c>
      <c r="ER22" s="288" t="s">
        <v>326</v>
      </c>
      <c r="ES22" s="286" t="s">
        <v>467</v>
      </c>
      <c r="ET22" s="286" t="s">
        <v>591</v>
      </c>
      <c r="EU22" s="287">
        <v>705120243</v>
      </c>
      <c r="EV22" s="287">
        <v>0</v>
      </c>
      <c r="EW22" s="287">
        <v>0</v>
      </c>
      <c r="EX22" s="376">
        <f t="shared" si="40"/>
        <v>705120.24300000002</v>
      </c>
      <c r="EY22" s="376">
        <f t="shared" si="41"/>
        <v>0</v>
      </c>
      <c r="EZ22" s="376">
        <f t="shared" si="42"/>
        <v>0</v>
      </c>
      <c r="FK22" s="297" t="s">
        <v>421</v>
      </c>
      <c r="FL22" s="297" t="s">
        <v>326</v>
      </c>
      <c r="FM22" s="297" t="s">
        <v>467</v>
      </c>
      <c r="FN22" s="297" t="s">
        <v>591</v>
      </c>
      <c r="FO22" s="372">
        <v>805120243</v>
      </c>
      <c r="FP22" s="372">
        <v>0</v>
      </c>
      <c r="FQ22" s="372">
        <v>0</v>
      </c>
      <c r="FR22" s="372">
        <f t="shared" si="43"/>
        <v>805120.24300000002</v>
      </c>
      <c r="FS22" s="372">
        <f t="shared" si="52"/>
        <v>0</v>
      </c>
      <c r="FT22" s="372">
        <f t="shared" si="53"/>
        <v>0</v>
      </c>
      <c r="GC22" s="275" t="s">
        <v>483</v>
      </c>
      <c r="GD22" s="275" t="s">
        <v>498</v>
      </c>
      <c r="GE22" s="275" t="s">
        <v>429</v>
      </c>
      <c r="GF22" s="275" t="s">
        <v>429</v>
      </c>
      <c r="GG22" s="372">
        <v>42435000</v>
      </c>
      <c r="GH22" s="372">
        <v>0</v>
      </c>
      <c r="GI22" s="372">
        <v>0</v>
      </c>
      <c r="GJ22" s="372">
        <f t="shared" si="45"/>
        <v>42435</v>
      </c>
      <c r="GK22" s="372">
        <f t="shared" si="46"/>
        <v>0</v>
      </c>
      <c r="GL22" s="372">
        <f t="shared" si="47"/>
        <v>0</v>
      </c>
      <c r="GS22" s="278">
        <f>SUM(GS3:GS21)</f>
        <v>2372175.5350000001</v>
      </c>
      <c r="GU22" s="275" t="s">
        <v>483</v>
      </c>
      <c r="GV22" s="275" t="s">
        <v>498</v>
      </c>
      <c r="GW22" s="275" t="s">
        <v>429</v>
      </c>
      <c r="GX22" s="275" t="s">
        <v>429</v>
      </c>
      <c r="GY22" s="491">
        <v>42435000</v>
      </c>
      <c r="GZ22" s="491">
        <v>0</v>
      </c>
      <c r="HA22" s="491">
        <v>0</v>
      </c>
      <c r="HB22" s="305">
        <f t="shared" si="49"/>
        <v>42435</v>
      </c>
      <c r="HC22" s="305">
        <f t="shared" si="50"/>
        <v>0</v>
      </c>
      <c r="HD22" s="305">
        <f t="shared" si="51"/>
        <v>0</v>
      </c>
    </row>
    <row r="23" spans="1:212" ht="15" customHeight="1" x14ac:dyDescent="0.2">
      <c r="A23" s="286" t="s">
        <v>421</v>
      </c>
      <c r="B23" s="286" t="s">
        <v>326</v>
      </c>
      <c r="C23" s="286" t="s">
        <v>477</v>
      </c>
      <c r="D23" s="286" t="s">
        <v>468</v>
      </c>
      <c r="E23" s="287">
        <v>235000000</v>
      </c>
      <c r="F23" s="287">
        <v>0</v>
      </c>
      <c r="G23" s="287">
        <v>0</v>
      </c>
      <c r="H23" s="371">
        <f t="shared" si="8"/>
        <v>244870</v>
      </c>
      <c r="I23" s="371">
        <f t="shared" si="9"/>
        <v>0</v>
      </c>
      <c r="J23" s="371">
        <f t="shared" si="10"/>
        <v>0</v>
      </c>
      <c r="S23" s="286" t="s">
        <v>421</v>
      </c>
      <c r="T23" s="288" t="s">
        <v>326</v>
      </c>
      <c r="U23" s="286" t="s">
        <v>442</v>
      </c>
      <c r="V23" s="288" t="s">
        <v>593</v>
      </c>
      <c r="W23" s="287">
        <v>285000000</v>
      </c>
      <c r="X23" s="287">
        <v>0</v>
      </c>
      <c r="Y23" s="287">
        <v>0</v>
      </c>
      <c r="Z23" s="361">
        <f t="shared" si="12"/>
        <v>296970</v>
      </c>
      <c r="AA23" s="361">
        <f t="shared" si="13"/>
        <v>0</v>
      </c>
      <c r="AB23" s="361">
        <f t="shared" si="14"/>
        <v>0</v>
      </c>
      <c r="AK23" s="286" t="s">
        <v>421</v>
      </c>
      <c r="AL23" s="286" t="s">
        <v>326</v>
      </c>
      <c r="AM23" s="286" t="s">
        <v>442</v>
      </c>
      <c r="AN23" s="286" t="s">
        <v>593</v>
      </c>
      <c r="AO23" s="287">
        <v>285000000</v>
      </c>
      <c r="AP23" s="287">
        <v>0</v>
      </c>
      <c r="AQ23" s="287">
        <v>0</v>
      </c>
      <c r="AR23" s="287">
        <f t="shared" si="16"/>
        <v>285000</v>
      </c>
      <c r="AS23" s="287">
        <f t="shared" si="17"/>
        <v>0</v>
      </c>
      <c r="AT23" s="287">
        <f t="shared" si="18"/>
        <v>0</v>
      </c>
      <c r="BC23" s="286" t="s">
        <v>421</v>
      </c>
      <c r="BD23" s="286" t="s">
        <v>326</v>
      </c>
      <c r="BE23" s="286" t="s">
        <v>442</v>
      </c>
      <c r="BF23" s="286" t="s">
        <v>593</v>
      </c>
      <c r="BG23" s="287">
        <v>285000000</v>
      </c>
      <c r="BH23" s="287">
        <v>0</v>
      </c>
      <c r="BI23" s="287">
        <v>0</v>
      </c>
      <c r="BJ23" s="372">
        <f t="shared" si="20"/>
        <v>285000</v>
      </c>
      <c r="BK23" s="372">
        <f t="shared" si="21"/>
        <v>0</v>
      </c>
      <c r="BL23" s="372">
        <f t="shared" si="22"/>
        <v>0</v>
      </c>
      <c r="BV23" s="286" t="s">
        <v>421</v>
      </c>
      <c r="BW23" s="286" t="s">
        <v>326</v>
      </c>
      <c r="BX23" s="286" t="s">
        <v>442</v>
      </c>
      <c r="BY23" s="286" t="s">
        <v>593</v>
      </c>
      <c r="BZ23" s="287">
        <v>285000000</v>
      </c>
      <c r="CA23" s="287">
        <v>0</v>
      </c>
      <c r="CB23" s="287">
        <v>0</v>
      </c>
      <c r="CC23" s="287">
        <f t="shared" si="24"/>
        <v>285000</v>
      </c>
      <c r="CD23" s="287">
        <f t="shared" si="25"/>
        <v>0</v>
      </c>
      <c r="CE23" s="287">
        <f t="shared" si="26"/>
        <v>0</v>
      </c>
      <c r="CN23" s="286" t="s">
        <v>421</v>
      </c>
      <c r="CO23" s="286" t="s">
        <v>326</v>
      </c>
      <c r="CP23" s="286" t="s">
        <v>442</v>
      </c>
      <c r="CQ23" s="286" t="s">
        <v>593</v>
      </c>
      <c r="CR23" s="287">
        <v>285000000</v>
      </c>
      <c r="CS23" s="287">
        <v>0</v>
      </c>
      <c r="CT23" s="287">
        <v>0</v>
      </c>
      <c r="CU23" s="287">
        <f t="shared" si="28"/>
        <v>285000</v>
      </c>
      <c r="CV23" s="287">
        <f t="shared" si="29"/>
        <v>0</v>
      </c>
      <c r="CW23" s="287">
        <f t="shared" si="30"/>
        <v>0</v>
      </c>
      <c r="DF23" s="286" t="s">
        <v>421</v>
      </c>
      <c r="DG23" s="288" t="s">
        <v>326</v>
      </c>
      <c r="DH23" s="286" t="s">
        <v>442</v>
      </c>
      <c r="DI23" s="288" t="s">
        <v>593</v>
      </c>
      <c r="DJ23" s="287">
        <v>285000000</v>
      </c>
      <c r="DK23" s="287">
        <v>0</v>
      </c>
      <c r="DL23" s="287">
        <v>0</v>
      </c>
      <c r="DM23" s="371">
        <f t="shared" si="32"/>
        <v>285000</v>
      </c>
      <c r="DN23" s="371">
        <f t="shared" si="33"/>
        <v>0</v>
      </c>
      <c r="DO23" s="371">
        <f t="shared" si="34"/>
        <v>0</v>
      </c>
      <c r="DX23" s="286" t="s">
        <v>421</v>
      </c>
      <c r="DY23" s="288" t="s">
        <v>326</v>
      </c>
      <c r="DZ23" s="286" t="s">
        <v>442</v>
      </c>
      <c r="EA23" s="288" t="s">
        <v>593</v>
      </c>
      <c r="EB23" s="287">
        <v>269055243</v>
      </c>
      <c r="EC23" s="287">
        <v>0</v>
      </c>
      <c r="ED23" s="287">
        <v>0</v>
      </c>
      <c r="EE23" s="287">
        <f t="shared" si="36"/>
        <v>269055.24300000002</v>
      </c>
      <c r="EF23" s="287">
        <f t="shared" si="37"/>
        <v>0</v>
      </c>
      <c r="EG23" s="287">
        <f t="shared" si="38"/>
        <v>0</v>
      </c>
      <c r="EQ23" s="286" t="s">
        <v>421</v>
      </c>
      <c r="ER23" s="288" t="s">
        <v>326</v>
      </c>
      <c r="ES23" s="286" t="s">
        <v>476</v>
      </c>
      <c r="ET23" s="286" t="s">
        <v>592</v>
      </c>
      <c r="EU23" s="287">
        <v>557123057</v>
      </c>
      <c r="EV23" s="287">
        <v>0</v>
      </c>
      <c r="EW23" s="287">
        <v>0</v>
      </c>
      <c r="EX23" s="376">
        <f t="shared" si="40"/>
        <v>557123.05700000003</v>
      </c>
      <c r="EY23" s="376">
        <f t="shared" si="41"/>
        <v>0</v>
      </c>
      <c r="EZ23" s="376">
        <f t="shared" si="42"/>
        <v>0</v>
      </c>
      <c r="FK23" s="297" t="s">
        <v>421</v>
      </c>
      <c r="FL23" s="297" t="s">
        <v>326</v>
      </c>
      <c r="FM23" s="297" t="s">
        <v>476</v>
      </c>
      <c r="FN23" s="297" t="s">
        <v>592</v>
      </c>
      <c r="FO23" s="372">
        <v>457123057</v>
      </c>
      <c r="FP23" s="372">
        <v>0</v>
      </c>
      <c r="FQ23" s="372">
        <v>0</v>
      </c>
      <c r="FR23" s="372">
        <f t="shared" si="43"/>
        <v>457123.05699999997</v>
      </c>
      <c r="FS23" s="372">
        <f t="shared" si="52"/>
        <v>0</v>
      </c>
      <c r="FT23" s="372">
        <f t="shared" si="53"/>
        <v>0</v>
      </c>
      <c r="GC23" s="275" t="s">
        <v>483</v>
      </c>
      <c r="GD23" s="275" t="s">
        <v>498</v>
      </c>
      <c r="GE23" s="275" t="s">
        <v>429</v>
      </c>
      <c r="GF23" s="275" t="s">
        <v>429</v>
      </c>
      <c r="GG23" s="372">
        <v>0</v>
      </c>
      <c r="GH23" s="372">
        <v>17434690</v>
      </c>
      <c r="GI23" s="372">
        <v>0</v>
      </c>
      <c r="GJ23" s="372">
        <f t="shared" si="45"/>
        <v>0</v>
      </c>
      <c r="GK23" s="372">
        <f t="shared" si="46"/>
        <v>17434.689999999999</v>
      </c>
      <c r="GL23" s="372">
        <f t="shared" si="47"/>
        <v>0</v>
      </c>
      <c r="GS23" s="279"/>
      <c r="GU23" s="275" t="s">
        <v>483</v>
      </c>
      <c r="GV23" s="275" t="s">
        <v>498</v>
      </c>
      <c r="GW23" s="275" t="s">
        <v>429</v>
      </c>
      <c r="GX23" s="275" t="s">
        <v>429</v>
      </c>
      <c r="GY23" s="491">
        <v>0</v>
      </c>
      <c r="GZ23" s="491">
        <v>17434690</v>
      </c>
      <c r="HA23" s="491">
        <v>26434690</v>
      </c>
      <c r="HB23" s="305">
        <f t="shared" si="49"/>
        <v>0</v>
      </c>
      <c r="HC23" s="305">
        <f t="shared" si="50"/>
        <v>17434.689999999999</v>
      </c>
      <c r="HD23" s="305">
        <f t="shared" si="51"/>
        <v>26434.69</v>
      </c>
    </row>
    <row r="24" spans="1:212" ht="15" customHeight="1" x14ac:dyDescent="0.2">
      <c r="A24" s="286" t="s">
        <v>421</v>
      </c>
      <c r="B24" s="286" t="s">
        <v>326</v>
      </c>
      <c r="C24" s="286" t="s">
        <v>589</v>
      </c>
      <c r="D24" s="286" t="s">
        <v>590</v>
      </c>
      <c r="E24" s="287">
        <v>205000000</v>
      </c>
      <c r="F24" s="287">
        <v>0</v>
      </c>
      <c r="G24" s="287">
        <v>0</v>
      </c>
      <c r="H24" s="371">
        <f t="shared" si="8"/>
        <v>213610</v>
      </c>
      <c r="I24" s="371">
        <f t="shared" si="9"/>
        <v>0</v>
      </c>
      <c r="J24" s="371">
        <f t="shared" si="10"/>
        <v>0</v>
      </c>
      <c r="S24" s="286" t="s">
        <v>421</v>
      </c>
      <c r="T24" s="288" t="s">
        <v>326</v>
      </c>
      <c r="U24" s="286" t="s">
        <v>477</v>
      </c>
      <c r="V24" s="288" t="s">
        <v>468</v>
      </c>
      <c r="W24" s="287">
        <v>235000000</v>
      </c>
      <c r="X24" s="287">
        <v>0</v>
      </c>
      <c r="Y24" s="287">
        <v>0</v>
      </c>
      <c r="Z24" s="361">
        <f t="shared" si="12"/>
        <v>244870</v>
      </c>
      <c r="AA24" s="361">
        <f t="shared" si="13"/>
        <v>0</v>
      </c>
      <c r="AB24" s="361">
        <f t="shared" si="14"/>
        <v>0</v>
      </c>
      <c r="AK24" s="286" t="s">
        <v>421</v>
      </c>
      <c r="AL24" s="286" t="s">
        <v>326</v>
      </c>
      <c r="AM24" s="286" t="s">
        <v>477</v>
      </c>
      <c r="AN24" s="286" t="s">
        <v>468</v>
      </c>
      <c r="AO24" s="287">
        <v>235000000</v>
      </c>
      <c r="AP24" s="287">
        <v>0</v>
      </c>
      <c r="AQ24" s="287">
        <v>0</v>
      </c>
      <c r="AR24" s="287">
        <f t="shared" si="16"/>
        <v>235000</v>
      </c>
      <c r="AS24" s="287">
        <f t="shared" si="17"/>
        <v>0</v>
      </c>
      <c r="AT24" s="287">
        <f t="shared" si="18"/>
        <v>0</v>
      </c>
      <c r="BC24" s="286" t="s">
        <v>421</v>
      </c>
      <c r="BD24" s="286" t="s">
        <v>326</v>
      </c>
      <c r="BE24" s="286" t="s">
        <v>477</v>
      </c>
      <c r="BF24" s="286" t="s">
        <v>468</v>
      </c>
      <c r="BG24" s="287">
        <v>235000000</v>
      </c>
      <c r="BH24" s="287">
        <v>0</v>
      </c>
      <c r="BI24" s="287">
        <v>0</v>
      </c>
      <c r="BJ24" s="372">
        <f t="shared" si="20"/>
        <v>235000</v>
      </c>
      <c r="BK24" s="372">
        <f t="shared" si="21"/>
        <v>0</v>
      </c>
      <c r="BL24" s="372">
        <f t="shared" si="22"/>
        <v>0</v>
      </c>
      <c r="BV24" s="286" t="s">
        <v>421</v>
      </c>
      <c r="BW24" s="286" t="s">
        <v>326</v>
      </c>
      <c r="BX24" s="286" t="s">
        <v>477</v>
      </c>
      <c r="BY24" s="286" t="s">
        <v>468</v>
      </c>
      <c r="BZ24" s="287">
        <v>235000000</v>
      </c>
      <c r="CA24" s="287">
        <v>0</v>
      </c>
      <c r="CB24" s="287">
        <v>0</v>
      </c>
      <c r="CC24" s="287">
        <f t="shared" si="24"/>
        <v>235000</v>
      </c>
      <c r="CD24" s="287">
        <f t="shared" si="25"/>
        <v>0</v>
      </c>
      <c r="CE24" s="287">
        <f t="shared" si="26"/>
        <v>0</v>
      </c>
      <c r="CN24" s="286" t="s">
        <v>421</v>
      </c>
      <c r="CO24" s="286" t="s">
        <v>326</v>
      </c>
      <c r="CP24" s="286" t="s">
        <v>477</v>
      </c>
      <c r="CQ24" s="286" t="s">
        <v>468</v>
      </c>
      <c r="CR24" s="287">
        <v>235000000</v>
      </c>
      <c r="CS24" s="287">
        <v>0</v>
      </c>
      <c r="CT24" s="287">
        <v>0</v>
      </c>
      <c r="CU24" s="287">
        <f t="shared" si="28"/>
        <v>235000</v>
      </c>
      <c r="CV24" s="287">
        <f t="shared" si="29"/>
        <v>0</v>
      </c>
      <c r="CW24" s="287">
        <f t="shared" si="30"/>
        <v>0</v>
      </c>
      <c r="DF24" s="286" t="s">
        <v>421</v>
      </c>
      <c r="DG24" s="288" t="s">
        <v>326</v>
      </c>
      <c r="DH24" s="286" t="s">
        <v>477</v>
      </c>
      <c r="DI24" s="288" t="s">
        <v>468</v>
      </c>
      <c r="DJ24" s="287">
        <v>235000000</v>
      </c>
      <c r="DK24" s="287">
        <v>0</v>
      </c>
      <c r="DL24" s="287">
        <v>0</v>
      </c>
      <c r="DM24" s="371">
        <f t="shared" si="32"/>
        <v>235000</v>
      </c>
      <c r="DN24" s="371">
        <f t="shared" si="33"/>
        <v>0</v>
      </c>
      <c r="DO24" s="371">
        <f t="shared" si="34"/>
        <v>0</v>
      </c>
      <c r="DX24" s="286" t="s">
        <v>421</v>
      </c>
      <c r="DY24" s="288" t="s">
        <v>326</v>
      </c>
      <c r="DZ24" s="286" t="s">
        <v>477</v>
      </c>
      <c r="EA24" s="288" t="s">
        <v>468</v>
      </c>
      <c r="EB24" s="287">
        <v>235000000</v>
      </c>
      <c r="EC24" s="287">
        <v>0</v>
      </c>
      <c r="ED24" s="287">
        <v>0</v>
      </c>
      <c r="EE24" s="287">
        <f t="shared" si="36"/>
        <v>235000</v>
      </c>
      <c r="EF24" s="287">
        <f t="shared" si="37"/>
        <v>0</v>
      </c>
      <c r="EG24" s="287">
        <f t="shared" si="38"/>
        <v>0</v>
      </c>
      <c r="EQ24" s="286" t="s">
        <v>421</v>
      </c>
      <c r="ER24" s="288" t="s">
        <v>326</v>
      </c>
      <c r="ES24" s="286" t="s">
        <v>442</v>
      </c>
      <c r="ET24" s="286" t="s">
        <v>593</v>
      </c>
      <c r="EU24" s="287">
        <v>269500000</v>
      </c>
      <c r="EV24" s="287">
        <v>0</v>
      </c>
      <c r="EW24" s="287">
        <v>0</v>
      </c>
      <c r="EX24" s="376">
        <f t="shared" si="40"/>
        <v>269500</v>
      </c>
      <c r="EY24" s="376">
        <f t="shared" si="41"/>
        <v>0</v>
      </c>
      <c r="EZ24" s="376">
        <f t="shared" si="42"/>
        <v>0</v>
      </c>
      <c r="FK24" s="297" t="s">
        <v>421</v>
      </c>
      <c r="FL24" s="297" t="s">
        <v>326</v>
      </c>
      <c r="FM24" s="297" t="s">
        <v>442</v>
      </c>
      <c r="FN24" s="297" t="s">
        <v>593</v>
      </c>
      <c r="FO24" s="372">
        <v>269500000</v>
      </c>
      <c r="FP24" s="372">
        <v>0</v>
      </c>
      <c r="FQ24" s="372">
        <v>0</v>
      </c>
      <c r="FR24" s="372">
        <f t="shared" si="43"/>
        <v>269500</v>
      </c>
      <c r="FS24" s="372">
        <f t="shared" si="52"/>
        <v>0</v>
      </c>
      <c r="FT24" s="372">
        <f t="shared" si="53"/>
        <v>0</v>
      </c>
      <c r="GC24" s="275" t="s">
        <v>421</v>
      </c>
      <c r="GD24" s="275" t="s">
        <v>326</v>
      </c>
      <c r="GE24" s="275" t="s">
        <v>467</v>
      </c>
      <c r="GF24" s="275" t="s">
        <v>591</v>
      </c>
      <c r="GG24" s="372">
        <v>805120243</v>
      </c>
      <c r="GH24" s="372">
        <v>0</v>
      </c>
      <c r="GI24" s="372">
        <v>0</v>
      </c>
      <c r="GJ24" s="372">
        <f t="shared" si="45"/>
        <v>805120.24300000002</v>
      </c>
      <c r="GK24" s="372">
        <f t="shared" si="46"/>
        <v>0</v>
      </c>
      <c r="GL24" s="372">
        <f t="shared" si="47"/>
        <v>0</v>
      </c>
      <c r="GU24" s="275" t="s">
        <v>421</v>
      </c>
      <c r="GV24" s="275" t="s">
        <v>326</v>
      </c>
      <c r="GW24" s="275" t="s">
        <v>467</v>
      </c>
      <c r="GX24" s="275" t="s">
        <v>591</v>
      </c>
      <c r="GY24" s="491">
        <v>794217140</v>
      </c>
      <c r="GZ24" s="491">
        <v>0</v>
      </c>
      <c r="HA24" s="491">
        <v>0</v>
      </c>
      <c r="HB24" s="305">
        <f t="shared" si="49"/>
        <v>794217.14</v>
      </c>
      <c r="HC24" s="305">
        <f t="shared" si="50"/>
        <v>0</v>
      </c>
      <c r="HD24" s="305">
        <f t="shared" si="51"/>
        <v>0</v>
      </c>
    </row>
    <row r="25" spans="1:212" ht="15" customHeight="1" x14ac:dyDescent="0.2">
      <c r="A25" s="286" t="s">
        <v>421</v>
      </c>
      <c r="B25" s="286" t="s">
        <v>326</v>
      </c>
      <c r="C25" s="286" t="s">
        <v>422</v>
      </c>
      <c r="D25" s="286" t="s">
        <v>470</v>
      </c>
      <c r="E25" s="287">
        <v>160000000</v>
      </c>
      <c r="F25" s="287">
        <v>0</v>
      </c>
      <c r="G25" s="287">
        <v>0</v>
      </c>
      <c r="H25" s="371">
        <f t="shared" si="8"/>
        <v>166720</v>
      </c>
      <c r="I25" s="371">
        <f t="shared" si="9"/>
        <v>0</v>
      </c>
      <c r="J25" s="371">
        <f t="shared" si="10"/>
        <v>0</v>
      </c>
      <c r="S25" s="286" t="s">
        <v>421</v>
      </c>
      <c r="T25" s="288" t="s">
        <v>326</v>
      </c>
      <c r="U25" s="286" t="s">
        <v>589</v>
      </c>
      <c r="V25" s="288" t="s">
        <v>590</v>
      </c>
      <c r="W25" s="287">
        <v>205000000</v>
      </c>
      <c r="X25" s="287">
        <v>0</v>
      </c>
      <c r="Y25" s="287">
        <v>0</v>
      </c>
      <c r="Z25" s="361">
        <f t="shared" si="12"/>
        <v>213610</v>
      </c>
      <c r="AA25" s="361">
        <f t="shared" si="13"/>
        <v>0</v>
      </c>
      <c r="AB25" s="361">
        <f t="shared" si="14"/>
        <v>0</v>
      </c>
      <c r="AK25" s="286" t="s">
        <v>421</v>
      </c>
      <c r="AL25" s="286" t="s">
        <v>326</v>
      </c>
      <c r="AM25" s="286" t="s">
        <v>589</v>
      </c>
      <c r="AN25" s="286" t="s">
        <v>590</v>
      </c>
      <c r="AO25" s="287">
        <v>205000000</v>
      </c>
      <c r="AP25" s="287">
        <v>0</v>
      </c>
      <c r="AQ25" s="287">
        <v>0</v>
      </c>
      <c r="AR25" s="287">
        <f t="shared" si="16"/>
        <v>205000</v>
      </c>
      <c r="AS25" s="287">
        <f t="shared" si="17"/>
        <v>0</v>
      </c>
      <c r="AT25" s="287">
        <f t="shared" si="18"/>
        <v>0</v>
      </c>
      <c r="BC25" s="286" t="s">
        <v>421</v>
      </c>
      <c r="BD25" s="286" t="s">
        <v>326</v>
      </c>
      <c r="BE25" s="286" t="s">
        <v>589</v>
      </c>
      <c r="BF25" s="286" t="s">
        <v>590</v>
      </c>
      <c r="BG25" s="287">
        <v>205000000</v>
      </c>
      <c r="BH25" s="287">
        <v>0</v>
      </c>
      <c r="BI25" s="287">
        <v>0</v>
      </c>
      <c r="BJ25" s="372">
        <f t="shared" si="20"/>
        <v>205000</v>
      </c>
      <c r="BK25" s="372">
        <f t="shared" si="21"/>
        <v>0</v>
      </c>
      <c r="BL25" s="372">
        <f t="shared" si="22"/>
        <v>0</v>
      </c>
      <c r="BV25" s="286" t="s">
        <v>421</v>
      </c>
      <c r="BW25" s="286" t="s">
        <v>326</v>
      </c>
      <c r="BX25" s="286" t="s">
        <v>589</v>
      </c>
      <c r="BY25" s="286" t="s">
        <v>590</v>
      </c>
      <c r="BZ25" s="287">
        <v>205000000</v>
      </c>
      <c r="CA25" s="287">
        <v>0</v>
      </c>
      <c r="CB25" s="287">
        <v>0</v>
      </c>
      <c r="CC25" s="287">
        <f t="shared" si="24"/>
        <v>205000</v>
      </c>
      <c r="CD25" s="287">
        <f t="shared" si="25"/>
        <v>0</v>
      </c>
      <c r="CE25" s="287">
        <f t="shared" si="26"/>
        <v>0</v>
      </c>
      <c r="CN25" s="286" t="s">
        <v>421</v>
      </c>
      <c r="CO25" s="286" t="s">
        <v>326</v>
      </c>
      <c r="CP25" s="286" t="s">
        <v>589</v>
      </c>
      <c r="CQ25" s="286" t="s">
        <v>590</v>
      </c>
      <c r="CR25" s="287">
        <v>205000000</v>
      </c>
      <c r="CS25" s="287">
        <v>0</v>
      </c>
      <c r="CT25" s="287">
        <v>0</v>
      </c>
      <c r="CU25" s="287">
        <f t="shared" si="28"/>
        <v>205000</v>
      </c>
      <c r="CV25" s="287">
        <f t="shared" si="29"/>
        <v>0</v>
      </c>
      <c r="CW25" s="287">
        <f t="shared" si="30"/>
        <v>0</v>
      </c>
      <c r="DF25" s="286" t="s">
        <v>421</v>
      </c>
      <c r="DG25" s="288" t="s">
        <v>326</v>
      </c>
      <c r="DH25" s="286" t="s">
        <v>589</v>
      </c>
      <c r="DI25" s="288" t="s">
        <v>590</v>
      </c>
      <c r="DJ25" s="287">
        <v>205000000</v>
      </c>
      <c r="DK25" s="287">
        <v>0</v>
      </c>
      <c r="DL25" s="287">
        <v>0</v>
      </c>
      <c r="DM25" s="371">
        <f t="shared" si="32"/>
        <v>205000</v>
      </c>
      <c r="DN25" s="371">
        <f t="shared" si="33"/>
        <v>0</v>
      </c>
      <c r="DO25" s="371">
        <f t="shared" si="34"/>
        <v>0</v>
      </c>
      <c r="DX25" s="286" t="s">
        <v>421</v>
      </c>
      <c r="DY25" s="288" t="s">
        <v>326</v>
      </c>
      <c r="DZ25" s="286" t="s">
        <v>589</v>
      </c>
      <c r="EA25" s="288" t="s">
        <v>590</v>
      </c>
      <c r="EB25" s="287">
        <v>205000000</v>
      </c>
      <c r="EC25" s="287">
        <v>0</v>
      </c>
      <c r="ED25" s="287">
        <v>0</v>
      </c>
      <c r="EE25" s="287">
        <f t="shared" si="36"/>
        <v>205000</v>
      </c>
      <c r="EF25" s="287">
        <f t="shared" si="37"/>
        <v>0</v>
      </c>
      <c r="EG25" s="287">
        <f t="shared" si="38"/>
        <v>0</v>
      </c>
      <c r="EQ25" s="286" t="s">
        <v>421</v>
      </c>
      <c r="ER25" s="288" t="s">
        <v>326</v>
      </c>
      <c r="ES25" s="286" t="s">
        <v>422</v>
      </c>
      <c r="ET25" s="286" t="s">
        <v>470</v>
      </c>
      <c r="EU25" s="287">
        <v>159963700</v>
      </c>
      <c r="EV25" s="287">
        <v>0</v>
      </c>
      <c r="EW25" s="287">
        <v>0</v>
      </c>
      <c r="EX25" s="376">
        <f t="shared" si="40"/>
        <v>159963.70000000001</v>
      </c>
      <c r="EY25" s="376">
        <f t="shared" si="41"/>
        <v>0</v>
      </c>
      <c r="EZ25" s="376">
        <f t="shared" si="42"/>
        <v>0</v>
      </c>
      <c r="FK25" s="297" t="s">
        <v>421</v>
      </c>
      <c r="FL25" s="297" t="s">
        <v>326</v>
      </c>
      <c r="FM25" s="297" t="s">
        <v>422</v>
      </c>
      <c r="FN25" s="297" t="s">
        <v>470</v>
      </c>
      <c r="FO25" s="372">
        <v>159963700</v>
      </c>
      <c r="FP25" s="372">
        <v>0</v>
      </c>
      <c r="FQ25" s="372">
        <v>0</v>
      </c>
      <c r="FR25" s="372">
        <f t="shared" si="43"/>
        <v>159963.70000000001</v>
      </c>
      <c r="FS25" s="372">
        <f t="shared" si="52"/>
        <v>0</v>
      </c>
      <c r="FT25" s="372">
        <f t="shared" si="53"/>
        <v>0</v>
      </c>
      <c r="GC25" s="275" t="s">
        <v>421</v>
      </c>
      <c r="GD25" s="275" t="s">
        <v>326</v>
      </c>
      <c r="GE25" s="275" t="s">
        <v>476</v>
      </c>
      <c r="GF25" s="275" t="s">
        <v>592</v>
      </c>
      <c r="GG25" s="372">
        <v>357123057</v>
      </c>
      <c r="GH25" s="372">
        <v>0</v>
      </c>
      <c r="GI25" s="372">
        <v>0</v>
      </c>
      <c r="GJ25" s="372">
        <f t="shared" si="45"/>
        <v>357123.05699999997</v>
      </c>
      <c r="GK25" s="372">
        <f t="shared" si="46"/>
        <v>0</v>
      </c>
      <c r="GL25" s="372">
        <f t="shared" si="47"/>
        <v>0</v>
      </c>
      <c r="GU25" s="275" t="s">
        <v>421</v>
      </c>
      <c r="GV25" s="275" t="s">
        <v>326</v>
      </c>
      <c r="GW25" s="275" t="s">
        <v>476</v>
      </c>
      <c r="GX25" s="275" t="s">
        <v>592</v>
      </c>
      <c r="GY25" s="491">
        <v>398037160</v>
      </c>
      <c r="GZ25" s="491">
        <v>0</v>
      </c>
      <c r="HA25" s="491">
        <v>0</v>
      </c>
      <c r="HB25" s="305">
        <f t="shared" si="49"/>
        <v>398037.16</v>
      </c>
      <c r="HC25" s="305">
        <f t="shared" si="50"/>
        <v>0</v>
      </c>
      <c r="HD25" s="305">
        <f t="shared" si="51"/>
        <v>0</v>
      </c>
    </row>
    <row r="26" spans="1:212" ht="15" customHeight="1" x14ac:dyDescent="0.2">
      <c r="A26" s="286" t="s">
        <v>421</v>
      </c>
      <c r="B26" s="286" t="s">
        <v>326</v>
      </c>
      <c r="C26" s="286" t="s">
        <v>589</v>
      </c>
      <c r="D26" s="286" t="s">
        <v>590</v>
      </c>
      <c r="E26" s="287">
        <v>0</v>
      </c>
      <c r="F26" s="287">
        <v>3120000</v>
      </c>
      <c r="G26" s="287">
        <v>0</v>
      </c>
      <c r="H26" s="371">
        <f t="shared" si="8"/>
        <v>0</v>
      </c>
      <c r="I26" s="371">
        <f t="shared" si="9"/>
        <v>3251.04</v>
      </c>
      <c r="J26" s="371">
        <f t="shared" si="10"/>
        <v>0</v>
      </c>
      <c r="S26" s="286" t="s">
        <v>421</v>
      </c>
      <c r="T26" s="288" t="s">
        <v>326</v>
      </c>
      <c r="U26" s="286" t="s">
        <v>422</v>
      </c>
      <c r="V26" s="288" t="s">
        <v>470</v>
      </c>
      <c r="W26" s="287">
        <v>160000000</v>
      </c>
      <c r="X26" s="287">
        <v>0</v>
      </c>
      <c r="Y26" s="287">
        <v>0</v>
      </c>
      <c r="Z26" s="361">
        <f t="shared" si="12"/>
        <v>166720</v>
      </c>
      <c r="AA26" s="361">
        <f t="shared" si="13"/>
        <v>0</v>
      </c>
      <c r="AB26" s="361">
        <f t="shared" si="14"/>
        <v>0</v>
      </c>
      <c r="AK26" s="286" t="s">
        <v>421</v>
      </c>
      <c r="AL26" s="286" t="s">
        <v>326</v>
      </c>
      <c r="AM26" s="286" t="s">
        <v>422</v>
      </c>
      <c r="AN26" s="286" t="s">
        <v>470</v>
      </c>
      <c r="AO26" s="287">
        <v>160000000</v>
      </c>
      <c r="AP26" s="287">
        <v>0</v>
      </c>
      <c r="AQ26" s="287">
        <v>0</v>
      </c>
      <c r="AR26" s="287">
        <f t="shared" si="16"/>
        <v>160000</v>
      </c>
      <c r="AS26" s="287">
        <f t="shared" si="17"/>
        <v>0</v>
      </c>
      <c r="AT26" s="287">
        <f t="shared" si="18"/>
        <v>0</v>
      </c>
      <c r="BC26" s="286" t="s">
        <v>421</v>
      </c>
      <c r="BD26" s="286" t="s">
        <v>326</v>
      </c>
      <c r="BE26" s="286" t="s">
        <v>422</v>
      </c>
      <c r="BF26" s="286" t="s">
        <v>470</v>
      </c>
      <c r="BG26" s="287">
        <v>160000000</v>
      </c>
      <c r="BH26" s="287">
        <v>0</v>
      </c>
      <c r="BI26" s="287">
        <v>0</v>
      </c>
      <c r="BJ26" s="372">
        <f t="shared" si="20"/>
        <v>160000</v>
      </c>
      <c r="BK26" s="372">
        <f t="shared" si="21"/>
        <v>0</v>
      </c>
      <c r="BL26" s="372">
        <f t="shared" si="22"/>
        <v>0</v>
      </c>
      <c r="BV26" s="286" t="s">
        <v>421</v>
      </c>
      <c r="BW26" s="286" t="s">
        <v>326</v>
      </c>
      <c r="BX26" s="286" t="s">
        <v>422</v>
      </c>
      <c r="BY26" s="286" t="s">
        <v>470</v>
      </c>
      <c r="BZ26" s="287">
        <v>160000000</v>
      </c>
      <c r="CA26" s="287">
        <v>0</v>
      </c>
      <c r="CB26" s="287">
        <v>0</v>
      </c>
      <c r="CC26" s="287">
        <f t="shared" si="24"/>
        <v>160000</v>
      </c>
      <c r="CD26" s="287">
        <f t="shared" si="25"/>
        <v>0</v>
      </c>
      <c r="CE26" s="287">
        <f t="shared" si="26"/>
        <v>0</v>
      </c>
      <c r="CN26" s="286" t="s">
        <v>421</v>
      </c>
      <c r="CO26" s="286" t="s">
        <v>326</v>
      </c>
      <c r="CP26" s="286" t="s">
        <v>422</v>
      </c>
      <c r="CQ26" s="286" t="s">
        <v>470</v>
      </c>
      <c r="CR26" s="287">
        <v>160000000</v>
      </c>
      <c r="CS26" s="287">
        <v>0</v>
      </c>
      <c r="CT26" s="287">
        <v>0</v>
      </c>
      <c r="CU26" s="287">
        <f t="shared" si="28"/>
        <v>160000</v>
      </c>
      <c r="CV26" s="287">
        <f t="shared" si="29"/>
        <v>0</v>
      </c>
      <c r="CW26" s="287">
        <f t="shared" si="30"/>
        <v>0</v>
      </c>
      <c r="DF26" s="286" t="s">
        <v>421</v>
      </c>
      <c r="DG26" s="288" t="s">
        <v>326</v>
      </c>
      <c r="DH26" s="286" t="s">
        <v>422</v>
      </c>
      <c r="DI26" s="288" t="s">
        <v>470</v>
      </c>
      <c r="DJ26" s="287">
        <v>160000000</v>
      </c>
      <c r="DK26" s="287">
        <v>0</v>
      </c>
      <c r="DL26" s="287">
        <v>0</v>
      </c>
      <c r="DM26" s="371">
        <f t="shared" si="32"/>
        <v>160000</v>
      </c>
      <c r="DN26" s="371">
        <f t="shared" si="33"/>
        <v>0</v>
      </c>
      <c r="DO26" s="371">
        <f t="shared" si="34"/>
        <v>0</v>
      </c>
      <c r="DX26" s="286" t="s">
        <v>421</v>
      </c>
      <c r="DY26" s="288" t="s">
        <v>326</v>
      </c>
      <c r="DZ26" s="286" t="s">
        <v>476</v>
      </c>
      <c r="EA26" s="288" t="s">
        <v>592</v>
      </c>
      <c r="EB26" s="287">
        <v>175206757</v>
      </c>
      <c r="EC26" s="287">
        <v>0</v>
      </c>
      <c r="ED26" s="287">
        <v>0</v>
      </c>
      <c r="EE26" s="287">
        <f t="shared" si="36"/>
        <v>175206.75700000001</v>
      </c>
      <c r="EF26" s="287">
        <f t="shared" si="37"/>
        <v>0</v>
      </c>
      <c r="EG26" s="287">
        <f t="shared" si="38"/>
        <v>0</v>
      </c>
      <c r="EQ26" s="286" t="s">
        <v>421</v>
      </c>
      <c r="ER26" s="288" t="s">
        <v>326</v>
      </c>
      <c r="ES26" s="286" t="s">
        <v>477</v>
      </c>
      <c r="ET26" s="286" t="s">
        <v>468</v>
      </c>
      <c r="EU26" s="287">
        <v>30000000</v>
      </c>
      <c r="EV26" s="287">
        <v>0</v>
      </c>
      <c r="EW26" s="287">
        <v>0</v>
      </c>
      <c r="EX26" s="376">
        <f t="shared" si="40"/>
        <v>30000</v>
      </c>
      <c r="EY26" s="376">
        <f t="shared" si="41"/>
        <v>0</v>
      </c>
      <c r="EZ26" s="376">
        <f t="shared" si="42"/>
        <v>0</v>
      </c>
      <c r="FK26" s="297" t="s">
        <v>421</v>
      </c>
      <c r="FL26" s="297" t="s">
        <v>326</v>
      </c>
      <c r="FM26" s="297" t="s">
        <v>477</v>
      </c>
      <c r="FN26" s="297" t="s">
        <v>468</v>
      </c>
      <c r="FO26" s="372">
        <v>30000000</v>
      </c>
      <c r="FP26" s="372">
        <v>0</v>
      </c>
      <c r="FQ26" s="372">
        <v>0</v>
      </c>
      <c r="FR26" s="372">
        <f t="shared" si="43"/>
        <v>30000</v>
      </c>
      <c r="FS26" s="372">
        <f t="shared" si="52"/>
        <v>0</v>
      </c>
      <c r="FT26" s="372">
        <f t="shared" si="53"/>
        <v>0</v>
      </c>
      <c r="GC26" s="275" t="s">
        <v>421</v>
      </c>
      <c r="GD26" s="275" t="s">
        <v>326</v>
      </c>
      <c r="GE26" s="275" t="s">
        <v>442</v>
      </c>
      <c r="GF26" s="275" t="s">
        <v>593</v>
      </c>
      <c r="GG26" s="372">
        <v>269500000</v>
      </c>
      <c r="GH26" s="372">
        <v>0</v>
      </c>
      <c r="GI26" s="372">
        <v>0</v>
      </c>
      <c r="GJ26" s="372">
        <f t="shared" si="45"/>
        <v>269500</v>
      </c>
      <c r="GK26" s="372">
        <f t="shared" si="46"/>
        <v>0</v>
      </c>
      <c r="GL26" s="372">
        <f t="shared" si="47"/>
        <v>0</v>
      </c>
      <c r="GU26" s="275" t="s">
        <v>421</v>
      </c>
      <c r="GV26" s="275" t="s">
        <v>326</v>
      </c>
      <c r="GW26" s="275" t="s">
        <v>442</v>
      </c>
      <c r="GX26" s="275" t="s">
        <v>593</v>
      </c>
      <c r="GY26" s="491">
        <v>269500000</v>
      </c>
      <c r="GZ26" s="491">
        <v>0</v>
      </c>
      <c r="HA26" s="491">
        <v>0</v>
      </c>
      <c r="HB26" s="305">
        <f t="shared" si="49"/>
        <v>269500</v>
      </c>
      <c r="HC26" s="305">
        <f t="shared" si="50"/>
        <v>0</v>
      </c>
      <c r="HD26" s="305">
        <f t="shared" si="51"/>
        <v>0</v>
      </c>
    </row>
    <row r="27" spans="1:212" ht="15" customHeight="1" x14ac:dyDescent="0.2">
      <c r="A27" s="286" t="s">
        <v>893</v>
      </c>
      <c r="B27" s="286" t="s">
        <v>894</v>
      </c>
      <c r="C27" s="286" t="s">
        <v>429</v>
      </c>
      <c r="D27" s="286" t="s">
        <v>429</v>
      </c>
      <c r="E27" s="287">
        <v>1000</v>
      </c>
      <c r="F27" s="287">
        <v>0</v>
      </c>
      <c r="G27" s="287">
        <v>0</v>
      </c>
      <c r="H27" s="371">
        <f t="shared" si="8"/>
        <v>1.042</v>
      </c>
      <c r="I27" s="371">
        <f t="shared" si="9"/>
        <v>0</v>
      </c>
      <c r="J27" s="371">
        <f t="shared" si="10"/>
        <v>0</v>
      </c>
      <c r="S27" s="286" t="s">
        <v>421</v>
      </c>
      <c r="T27" s="288" t="s">
        <v>326</v>
      </c>
      <c r="U27" s="286" t="s">
        <v>589</v>
      </c>
      <c r="V27" s="288" t="s">
        <v>590</v>
      </c>
      <c r="W27" s="287">
        <v>0</v>
      </c>
      <c r="X27" s="287">
        <v>3120000</v>
      </c>
      <c r="Y27" s="287">
        <v>780000</v>
      </c>
      <c r="Z27" s="361">
        <f t="shared" si="12"/>
        <v>0</v>
      </c>
      <c r="AA27" s="361">
        <f t="shared" si="13"/>
        <v>3251.04</v>
      </c>
      <c r="AB27" s="361">
        <f t="shared" si="14"/>
        <v>812.76</v>
      </c>
      <c r="AK27" s="286" t="s">
        <v>421</v>
      </c>
      <c r="AL27" s="286" t="s">
        <v>326</v>
      </c>
      <c r="AM27" s="286" t="s">
        <v>589</v>
      </c>
      <c r="AN27" s="286" t="s">
        <v>590</v>
      </c>
      <c r="AO27" s="287">
        <v>0</v>
      </c>
      <c r="AP27" s="287">
        <v>28109000</v>
      </c>
      <c r="AQ27" s="287">
        <v>780000</v>
      </c>
      <c r="AR27" s="287">
        <f t="shared" si="16"/>
        <v>0</v>
      </c>
      <c r="AS27" s="287">
        <f t="shared" si="17"/>
        <v>28109</v>
      </c>
      <c r="AT27" s="287">
        <f t="shared" si="18"/>
        <v>780</v>
      </c>
      <c r="BC27" s="286" t="s">
        <v>421</v>
      </c>
      <c r="BD27" s="286" t="s">
        <v>326</v>
      </c>
      <c r="BE27" s="286" t="s">
        <v>429</v>
      </c>
      <c r="BF27" s="286" t="s">
        <v>429</v>
      </c>
      <c r="BG27" s="287">
        <v>0</v>
      </c>
      <c r="BH27" s="287">
        <v>0</v>
      </c>
      <c r="BI27" s="287">
        <v>0</v>
      </c>
      <c r="BJ27" s="372">
        <f t="shared" si="20"/>
        <v>0</v>
      </c>
      <c r="BK27" s="372">
        <f t="shared" si="21"/>
        <v>0</v>
      </c>
      <c r="BL27" s="372">
        <f t="shared" si="22"/>
        <v>0</v>
      </c>
      <c r="BV27" s="286" t="s">
        <v>421</v>
      </c>
      <c r="BW27" s="286" t="s">
        <v>326</v>
      </c>
      <c r="BX27" s="286" t="s">
        <v>442</v>
      </c>
      <c r="BY27" s="286" t="s">
        <v>593</v>
      </c>
      <c r="BZ27" s="287">
        <v>0</v>
      </c>
      <c r="CA27" s="287">
        <v>85000000</v>
      </c>
      <c r="CB27" s="287">
        <v>80000000</v>
      </c>
      <c r="CC27" s="287">
        <f t="shared" si="24"/>
        <v>0</v>
      </c>
      <c r="CD27" s="287">
        <f t="shared" si="25"/>
        <v>85000</v>
      </c>
      <c r="CE27" s="287">
        <f t="shared" si="26"/>
        <v>80000</v>
      </c>
      <c r="CN27" s="286" t="s">
        <v>421</v>
      </c>
      <c r="CO27" s="286" t="s">
        <v>326</v>
      </c>
      <c r="CP27" s="286" t="s">
        <v>589</v>
      </c>
      <c r="CQ27" s="286" t="s">
        <v>590</v>
      </c>
      <c r="CR27" s="287">
        <v>0</v>
      </c>
      <c r="CS27" s="287">
        <v>28109000</v>
      </c>
      <c r="CT27" s="287">
        <v>1560000</v>
      </c>
      <c r="CU27" s="287">
        <f t="shared" si="28"/>
        <v>0</v>
      </c>
      <c r="CV27" s="287">
        <f t="shared" si="29"/>
        <v>28109</v>
      </c>
      <c r="CW27" s="287">
        <f t="shared" si="30"/>
        <v>1560</v>
      </c>
      <c r="DF27" s="286" t="s">
        <v>421</v>
      </c>
      <c r="DG27" s="288" t="s">
        <v>326</v>
      </c>
      <c r="DH27" s="286" t="s">
        <v>467</v>
      </c>
      <c r="DI27" s="288" t="s">
        <v>591</v>
      </c>
      <c r="DJ27" s="287">
        <v>0</v>
      </c>
      <c r="DK27" s="287">
        <v>340000000</v>
      </c>
      <c r="DL27" s="287">
        <v>340000000</v>
      </c>
      <c r="DM27" s="371">
        <f t="shared" si="32"/>
        <v>0</v>
      </c>
      <c r="DN27" s="371">
        <f t="shared" si="33"/>
        <v>340000</v>
      </c>
      <c r="DO27" s="371">
        <f t="shared" si="34"/>
        <v>340000</v>
      </c>
      <c r="DX27" s="286" t="s">
        <v>421</v>
      </c>
      <c r="DY27" s="288" t="s">
        <v>326</v>
      </c>
      <c r="DZ27" s="286" t="s">
        <v>422</v>
      </c>
      <c r="EA27" s="288" t="s">
        <v>470</v>
      </c>
      <c r="EB27" s="287">
        <v>160000000</v>
      </c>
      <c r="EC27" s="287">
        <v>0</v>
      </c>
      <c r="ED27" s="287">
        <v>0</v>
      </c>
      <c r="EE27" s="287">
        <f t="shared" si="36"/>
        <v>160000</v>
      </c>
      <c r="EF27" s="287">
        <f t="shared" si="37"/>
        <v>0</v>
      </c>
      <c r="EG27" s="287">
        <f t="shared" si="38"/>
        <v>0</v>
      </c>
      <c r="EQ27" s="286" t="s">
        <v>421</v>
      </c>
      <c r="ER27" s="288" t="s">
        <v>326</v>
      </c>
      <c r="ES27" s="286" t="s">
        <v>589</v>
      </c>
      <c r="ET27" s="286" t="s">
        <v>590</v>
      </c>
      <c r="EU27" s="287">
        <v>28120000</v>
      </c>
      <c r="EV27" s="287">
        <v>0</v>
      </c>
      <c r="EW27" s="287">
        <v>0</v>
      </c>
      <c r="EX27" s="376">
        <f t="shared" si="40"/>
        <v>28120</v>
      </c>
      <c r="EY27" s="376">
        <f t="shared" si="41"/>
        <v>0</v>
      </c>
      <c r="EZ27" s="376">
        <f t="shared" si="42"/>
        <v>0</v>
      </c>
      <c r="FK27" s="297" t="s">
        <v>421</v>
      </c>
      <c r="FL27" s="297" t="s">
        <v>326</v>
      </c>
      <c r="FM27" s="297" t="s">
        <v>589</v>
      </c>
      <c r="FN27" s="297" t="s">
        <v>590</v>
      </c>
      <c r="FO27" s="372">
        <v>28120000</v>
      </c>
      <c r="FP27" s="372">
        <v>0</v>
      </c>
      <c r="FQ27" s="372">
        <v>0</v>
      </c>
      <c r="FR27" s="372">
        <f t="shared" si="43"/>
        <v>28120</v>
      </c>
      <c r="FS27" s="372">
        <f t="shared" si="52"/>
        <v>0</v>
      </c>
      <c r="FT27" s="372">
        <f t="shared" si="53"/>
        <v>0</v>
      </c>
      <c r="GC27" s="275" t="s">
        <v>421</v>
      </c>
      <c r="GD27" s="275" t="s">
        <v>326</v>
      </c>
      <c r="GE27" s="275" t="s">
        <v>422</v>
      </c>
      <c r="GF27" s="275" t="s">
        <v>470</v>
      </c>
      <c r="GG27" s="372">
        <v>159963700</v>
      </c>
      <c r="GH27" s="372">
        <v>0</v>
      </c>
      <c r="GI27" s="372">
        <v>0</v>
      </c>
      <c r="GJ27" s="372">
        <f t="shared" si="45"/>
        <v>159963.70000000001</v>
      </c>
      <c r="GK27" s="372">
        <f t="shared" si="46"/>
        <v>0</v>
      </c>
      <c r="GL27" s="372">
        <f t="shared" si="47"/>
        <v>0</v>
      </c>
      <c r="GU27" s="275" t="s">
        <v>421</v>
      </c>
      <c r="GV27" s="275" t="s">
        <v>326</v>
      </c>
      <c r="GW27" s="275" t="s">
        <v>422</v>
      </c>
      <c r="GX27" s="275" t="s">
        <v>470</v>
      </c>
      <c r="GY27" s="491">
        <v>159963700</v>
      </c>
      <c r="GZ27" s="491">
        <v>0</v>
      </c>
      <c r="HA27" s="491">
        <v>0</v>
      </c>
      <c r="HB27" s="305">
        <f t="shared" si="49"/>
        <v>159963.70000000001</v>
      </c>
      <c r="HC27" s="305">
        <f t="shared" si="50"/>
        <v>0</v>
      </c>
      <c r="HD27" s="305">
        <f t="shared" si="51"/>
        <v>0</v>
      </c>
    </row>
    <row r="28" spans="1:212" ht="15" customHeight="1" x14ac:dyDescent="0.2">
      <c r="A28" s="286" t="s">
        <v>893</v>
      </c>
      <c r="B28" s="286" t="s">
        <v>894</v>
      </c>
      <c r="C28" s="286" t="s">
        <v>429</v>
      </c>
      <c r="D28" s="286" t="s">
        <v>429</v>
      </c>
      <c r="E28" s="287">
        <v>0</v>
      </c>
      <c r="F28" s="287">
        <v>366427393</v>
      </c>
      <c r="G28" s="287">
        <v>366427393</v>
      </c>
      <c r="H28" s="371">
        <f t="shared" si="8"/>
        <v>0</v>
      </c>
      <c r="I28" s="371">
        <f t="shared" si="9"/>
        <v>381817.343506</v>
      </c>
      <c r="J28" s="371">
        <f t="shared" si="10"/>
        <v>381817.343506</v>
      </c>
      <c r="S28" s="286" t="s">
        <v>421</v>
      </c>
      <c r="T28" s="288" t="s">
        <v>326</v>
      </c>
      <c r="U28" s="286" t="s">
        <v>429</v>
      </c>
      <c r="V28" s="288" t="s">
        <v>429</v>
      </c>
      <c r="W28" s="287">
        <v>0</v>
      </c>
      <c r="X28" s="287">
        <v>0</v>
      </c>
      <c r="Y28" s="287">
        <v>0</v>
      </c>
      <c r="Z28" s="361">
        <f t="shared" si="12"/>
        <v>0</v>
      </c>
      <c r="AA28" s="361">
        <f t="shared" si="13"/>
        <v>0</v>
      </c>
      <c r="AB28" s="361">
        <f t="shared" si="14"/>
        <v>0</v>
      </c>
      <c r="AK28" s="286" t="s">
        <v>421</v>
      </c>
      <c r="AL28" s="286" t="s">
        <v>326</v>
      </c>
      <c r="AM28" s="286" t="s">
        <v>442</v>
      </c>
      <c r="AN28" s="286" t="s">
        <v>593</v>
      </c>
      <c r="AO28" s="287">
        <v>0</v>
      </c>
      <c r="AP28" s="287">
        <v>85000000</v>
      </c>
      <c r="AQ28" s="287">
        <v>75000000</v>
      </c>
      <c r="AR28" s="287">
        <f t="shared" si="16"/>
        <v>0</v>
      </c>
      <c r="AS28" s="287">
        <f t="shared" si="17"/>
        <v>85000</v>
      </c>
      <c r="AT28" s="287">
        <f t="shared" si="18"/>
        <v>75000</v>
      </c>
      <c r="BC28" s="286" t="s">
        <v>421</v>
      </c>
      <c r="BD28" s="286" t="s">
        <v>326</v>
      </c>
      <c r="BE28" s="286" t="s">
        <v>429</v>
      </c>
      <c r="BF28" s="286" t="s">
        <v>429</v>
      </c>
      <c r="BG28" s="287">
        <v>0</v>
      </c>
      <c r="BH28" s="287">
        <v>0</v>
      </c>
      <c r="BI28" s="287">
        <v>0</v>
      </c>
      <c r="BJ28" s="372">
        <f t="shared" si="20"/>
        <v>0</v>
      </c>
      <c r="BK28" s="372">
        <f t="shared" si="21"/>
        <v>0</v>
      </c>
      <c r="BL28" s="372">
        <f t="shared" si="22"/>
        <v>0</v>
      </c>
      <c r="BV28" s="286" t="s">
        <v>421</v>
      </c>
      <c r="BW28" s="286" t="s">
        <v>326</v>
      </c>
      <c r="BX28" s="286" t="s">
        <v>429</v>
      </c>
      <c r="BY28" s="286" t="s">
        <v>429</v>
      </c>
      <c r="BZ28" s="287">
        <v>0</v>
      </c>
      <c r="CA28" s="287">
        <v>0</v>
      </c>
      <c r="CB28" s="287">
        <v>0</v>
      </c>
      <c r="CC28" s="287">
        <f t="shared" si="24"/>
        <v>0</v>
      </c>
      <c r="CD28" s="287">
        <f t="shared" si="25"/>
        <v>0</v>
      </c>
      <c r="CE28" s="287">
        <f t="shared" si="26"/>
        <v>0</v>
      </c>
      <c r="CN28" s="286" t="s">
        <v>421</v>
      </c>
      <c r="CO28" s="286" t="s">
        <v>326</v>
      </c>
      <c r="CP28" s="286" t="s">
        <v>442</v>
      </c>
      <c r="CQ28" s="286" t="s">
        <v>593</v>
      </c>
      <c r="CR28" s="287">
        <v>0</v>
      </c>
      <c r="CS28" s="287">
        <v>85000000</v>
      </c>
      <c r="CT28" s="287">
        <v>80000000</v>
      </c>
      <c r="CU28" s="287">
        <f t="shared" si="28"/>
        <v>0</v>
      </c>
      <c r="CV28" s="287">
        <f t="shared" si="29"/>
        <v>85000</v>
      </c>
      <c r="CW28" s="287">
        <f t="shared" si="30"/>
        <v>80000</v>
      </c>
      <c r="DF28" s="286" t="s">
        <v>421</v>
      </c>
      <c r="DG28" s="288" t="s">
        <v>326</v>
      </c>
      <c r="DH28" s="286" t="s">
        <v>429</v>
      </c>
      <c r="DI28" s="288" t="s">
        <v>429</v>
      </c>
      <c r="DJ28" s="287">
        <v>0</v>
      </c>
      <c r="DK28" s="287">
        <v>0</v>
      </c>
      <c r="DL28" s="287">
        <v>0</v>
      </c>
      <c r="DM28" s="371">
        <f t="shared" si="32"/>
        <v>0</v>
      </c>
      <c r="DN28" s="371">
        <f t="shared" si="33"/>
        <v>0</v>
      </c>
      <c r="DO28" s="371">
        <f t="shared" si="34"/>
        <v>0</v>
      </c>
      <c r="DX28" s="286" t="s">
        <v>421</v>
      </c>
      <c r="DY28" s="288" t="s">
        <v>326</v>
      </c>
      <c r="DZ28" s="286" t="s">
        <v>422</v>
      </c>
      <c r="EA28" s="288" t="s">
        <v>470</v>
      </c>
      <c r="EB28" s="287">
        <v>0</v>
      </c>
      <c r="EC28" s="287">
        <v>159963700</v>
      </c>
      <c r="ED28" s="287">
        <v>159963700</v>
      </c>
      <c r="EE28" s="287">
        <f t="shared" si="36"/>
        <v>0</v>
      </c>
      <c r="EF28" s="287">
        <f t="shared" si="37"/>
        <v>159963.70000000001</v>
      </c>
      <c r="EG28" s="287">
        <f t="shared" si="38"/>
        <v>159963.70000000001</v>
      </c>
      <c r="EQ28" s="286" t="s">
        <v>421</v>
      </c>
      <c r="ER28" s="288" t="s">
        <v>326</v>
      </c>
      <c r="ES28" s="286" t="s">
        <v>429</v>
      </c>
      <c r="ET28" s="286" t="s">
        <v>429</v>
      </c>
      <c r="EU28" s="287">
        <v>0</v>
      </c>
      <c r="EV28" s="287">
        <v>0</v>
      </c>
      <c r="EW28" s="287">
        <v>0</v>
      </c>
      <c r="EX28" s="376">
        <f t="shared" si="40"/>
        <v>0</v>
      </c>
      <c r="EY28" s="376">
        <f t="shared" si="41"/>
        <v>0</v>
      </c>
      <c r="EZ28" s="376">
        <f t="shared" si="42"/>
        <v>0</v>
      </c>
      <c r="FK28" s="297" t="s">
        <v>421</v>
      </c>
      <c r="FL28" s="297" t="s">
        <v>326</v>
      </c>
      <c r="FM28" s="297" t="s">
        <v>442</v>
      </c>
      <c r="FN28" s="297" t="s">
        <v>593</v>
      </c>
      <c r="FO28" s="372">
        <v>0</v>
      </c>
      <c r="FP28" s="372">
        <v>240580000</v>
      </c>
      <c r="FQ28" s="372">
        <v>136544000</v>
      </c>
      <c r="FR28" s="372">
        <f t="shared" si="43"/>
        <v>0</v>
      </c>
      <c r="FS28" s="372">
        <f t="shared" si="52"/>
        <v>240580</v>
      </c>
      <c r="FT28" s="372">
        <f t="shared" si="53"/>
        <v>136544</v>
      </c>
      <c r="GC28" s="275" t="s">
        <v>421</v>
      </c>
      <c r="GD28" s="275" t="s">
        <v>326</v>
      </c>
      <c r="GE28" s="275" t="s">
        <v>477</v>
      </c>
      <c r="GF28" s="275" t="s">
        <v>468</v>
      </c>
      <c r="GG28" s="372">
        <v>30000000</v>
      </c>
      <c r="GH28" s="372">
        <v>0</v>
      </c>
      <c r="GI28" s="372">
        <v>0</v>
      </c>
      <c r="GJ28" s="372">
        <f t="shared" si="45"/>
        <v>30000</v>
      </c>
      <c r="GK28" s="372">
        <f t="shared" si="46"/>
        <v>0</v>
      </c>
      <c r="GL28" s="372">
        <f t="shared" si="47"/>
        <v>0</v>
      </c>
      <c r="GU28" s="275" t="s">
        <v>421</v>
      </c>
      <c r="GV28" s="275" t="s">
        <v>326</v>
      </c>
      <c r="GW28" s="275" t="s">
        <v>589</v>
      </c>
      <c r="GX28" s="275" t="s">
        <v>590</v>
      </c>
      <c r="GY28" s="491">
        <v>28109000</v>
      </c>
      <c r="GZ28" s="491">
        <v>0</v>
      </c>
      <c r="HA28" s="491">
        <v>0</v>
      </c>
      <c r="HB28" s="305">
        <f t="shared" si="49"/>
        <v>28109</v>
      </c>
      <c r="HC28" s="305">
        <f t="shared" si="50"/>
        <v>0</v>
      </c>
      <c r="HD28" s="305">
        <f t="shared" si="51"/>
        <v>0</v>
      </c>
    </row>
    <row r="29" spans="1:212" ht="15" customHeight="1" x14ac:dyDescent="0.2">
      <c r="A29" s="286" t="s">
        <v>860</v>
      </c>
      <c r="B29" s="286" t="s">
        <v>51</v>
      </c>
      <c r="C29" s="286" t="s">
        <v>429</v>
      </c>
      <c r="D29" s="286" t="s">
        <v>429</v>
      </c>
      <c r="E29" s="287">
        <v>9000</v>
      </c>
      <c r="F29" s="287">
        <v>0</v>
      </c>
      <c r="G29" s="287">
        <v>0</v>
      </c>
      <c r="H29" s="371">
        <f t="shared" si="8"/>
        <v>9.3780000000000001</v>
      </c>
      <c r="I29" s="371">
        <f t="shared" si="9"/>
        <v>0</v>
      </c>
      <c r="J29" s="371">
        <f t="shared" si="10"/>
        <v>0</v>
      </c>
      <c r="S29" s="286" t="s">
        <v>421</v>
      </c>
      <c r="T29" s="288" t="s">
        <v>326</v>
      </c>
      <c r="U29" s="286" t="s">
        <v>429</v>
      </c>
      <c r="V29" s="288" t="s">
        <v>429</v>
      </c>
      <c r="W29" s="287">
        <v>0</v>
      </c>
      <c r="X29" s="287">
        <v>0</v>
      </c>
      <c r="Y29" s="287">
        <v>0</v>
      </c>
      <c r="Z29" s="361">
        <f t="shared" si="12"/>
        <v>0</v>
      </c>
      <c r="AA29" s="361">
        <f t="shared" si="13"/>
        <v>0</v>
      </c>
      <c r="AB29" s="361">
        <f t="shared" si="14"/>
        <v>0</v>
      </c>
      <c r="AK29" s="286" t="s">
        <v>421</v>
      </c>
      <c r="AL29" s="286" t="s">
        <v>326</v>
      </c>
      <c r="AM29" s="286" t="s">
        <v>429</v>
      </c>
      <c r="AN29" s="286" t="s">
        <v>429</v>
      </c>
      <c r="AO29" s="287">
        <v>0</v>
      </c>
      <c r="AP29" s="287">
        <v>0</v>
      </c>
      <c r="AQ29" s="287">
        <v>0</v>
      </c>
      <c r="AR29" s="287">
        <f t="shared" si="16"/>
        <v>0</v>
      </c>
      <c r="AS29" s="287">
        <f t="shared" si="17"/>
        <v>0</v>
      </c>
      <c r="AT29" s="287">
        <f t="shared" si="18"/>
        <v>0</v>
      </c>
      <c r="BC29" s="286" t="s">
        <v>421</v>
      </c>
      <c r="BD29" s="286" t="s">
        <v>326</v>
      </c>
      <c r="BE29" s="286" t="s">
        <v>442</v>
      </c>
      <c r="BF29" s="286" t="s">
        <v>593</v>
      </c>
      <c r="BG29" s="287">
        <v>0</v>
      </c>
      <c r="BH29" s="287">
        <v>85000000</v>
      </c>
      <c r="BI29" s="287">
        <v>75000000</v>
      </c>
      <c r="BJ29" s="372">
        <f t="shared" si="20"/>
        <v>0</v>
      </c>
      <c r="BK29" s="372">
        <f t="shared" si="21"/>
        <v>85000</v>
      </c>
      <c r="BL29" s="372">
        <f t="shared" si="22"/>
        <v>75000</v>
      </c>
      <c r="BV29" s="286" t="s">
        <v>421</v>
      </c>
      <c r="BW29" s="286" t="s">
        <v>326</v>
      </c>
      <c r="BX29" s="286" t="s">
        <v>476</v>
      </c>
      <c r="BY29" s="286" t="s">
        <v>592</v>
      </c>
      <c r="BZ29" s="287">
        <v>0</v>
      </c>
      <c r="CA29" s="287">
        <v>28980487</v>
      </c>
      <c r="CB29" s="287">
        <v>0</v>
      </c>
      <c r="CC29" s="287">
        <f t="shared" si="24"/>
        <v>0</v>
      </c>
      <c r="CD29" s="287">
        <f t="shared" si="25"/>
        <v>28980.487000000001</v>
      </c>
      <c r="CE29" s="287">
        <f t="shared" si="26"/>
        <v>0</v>
      </c>
      <c r="CN29" s="286" t="s">
        <v>421</v>
      </c>
      <c r="CO29" s="286" t="s">
        <v>326</v>
      </c>
      <c r="CP29" s="286" t="s">
        <v>476</v>
      </c>
      <c r="CQ29" s="286" t="s">
        <v>592</v>
      </c>
      <c r="CR29" s="287">
        <v>0</v>
      </c>
      <c r="CS29" s="287">
        <v>81379757</v>
      </c>
      <c r="CT29" s="287">
        <v>28980487</v>
      </c>
      <c r="CU29" s="287">
        <f t="shared" si="28"/>
        <v>0</v>
      </c>
      <c r="CV29" s="287">
        <f t="shared" si="29"/>
        <v>81379.756999999998</v>
      </c>
      <c r="CW29" s="287">
        <f t="shared" si="30"/>
        <v>28980.487000000001</v>
      </c>
      <c r="DF29" s="286" t="s">
        <v>421</v>
      </c>
      <c r="DG29" s="288" t="s">
        <v>326</v>
      </c>
      <c r="DH29" s="286" t="s">
        <v>429</v>
      </c>
      <c r="DI29" s="288" t="s">
        <v>429</v>
      </c>
      <c r="DJ29" s="287">
        <v>0</v>
      </c>
      <c r="DK29" s="287">
        <v>0</v>
      </c>
      <c r="DL29" s="287">
        <v>0</v>
      </c>
      <c r="DM29" s="371">
        <f t="shared" si="32"/>
        <v>0</v>
      </c>
      <c r="DN29" s="371">
        <f t="shared" si="33"/>
        <v>0</v>
      </c>
      <c r="DO29" s="371">
        <f t="shared" si="34"/>
        <v>0</v>
      </c>
      <c r="DX29" s="286" t="s">
        <v>421</v>
      </c>
      <c r="DY29" s="288" t="s">
        <v>326</v>
      </c>
      <c r="DZ29" s="286" t="s">
        <v>429</v>
      </c>
      <c r="EA29" s="288" t="s">
        <v>429</v>
      </c>
      <c r="EB29" s="287">
        <v>0</v>
      </c>
      <c r="EC29" s="287">
        <v>0</v>
      </c>
      <c r="ED29" s="287">
        <v>0</v>
      </c>
      <c r="EE29" s="287">
        <f t="shared" si="36"/>
        <v>0</v>
      </c>
      <c r="EF29" s="287">
        <f t="shared" si="37"/>
        <v>0</v>
      </c>
      <c r="EG29" s="287">
        <f t="shared" si="38"/>
        <v>0</v>
      </c>
      <c r="EQ29" s="286" t="s">
        <v>421</v>
      </c>
      <c r="ER29" s="288" t="s">
        <v>326</v>
      </c>
      <c r="ES29" s="286" t="s">
        <v>589</v>
      </c>
      <c r="ET29" s="286" t="s">
        <v>590</v>
      </c>
      <c r="EU29" s="287">
        <v>0</v>
      </c>
      <c r="EV29" s="287">
        <v>27329000</v>
      </c>
      <c r="EW29" s="287">
        <v>28109000</v>
      </c>
      <c r="EX29" s="376">
        <f t="shared" si="40"/>
        <v>0</v>
      </c>
      <c r="EY29" s="275"/>
      <c r="FK29" s="297" t="s">
        <v>421</v>
      </c>
      <c r="FL29" s="297" t="s">
        <v>326</v>
      </c>
      <c r="FM29" s="297" t="s">
        <v>476</v>
      </c>
      <c r="FN29" s="297" t="s">
        <v>592</v>
      </c>
      <c r="FO29" s="372">
        <v>0</v>
      </c>
      <c r="FP29" s="372">
        <v>101379757</v>
      </c>
      <c r="FQ29" s="372">
        <v>81379757</v>
      </c>
      <c r="FR29" s="372">
        <f t="shared" si="43"/>
        <v>0</v>
      </c>
      <c r="FS29" s="372">
        <f t="shared" si="52"/>
        <v>101379.757</v>
      </c>
      <c r="FT29" s="372">
        <f t="shared" si="53"/>
        <v>81379.756999999998</v>
      </c>
      <c r="GC29" s="275" t="s">
        <v>421</v>
      </c>
      <c r="GD29" s="275" t="s">
        <v>326</v>
      </c>
      <c r="GE29" s="275" t="s">
        <v>589</v>
      </c>
      <c r="GF29" s="275" t="s">
        <v>590</v>
      </c>
      <c r="GG29" s="372">
        <v>28120000</v>
      </c>
      <c r="GH29" s="372">
        <v>0</v>
      </c>
      <c r="GI29" s="372">
        <v>0</v>
      </c>
      <c r="GJ29" s="372">
        <f t="shared" si="45"/>
        <v>28120</v>
      </c>
      <c r="GK29" s="372">
        <f t="shared" si="46"/>
        <v>0</v>
      </c>
      <c r="GL29" s="372">
        <f t="shared" si="47"/>
        <v>0</v>
      </c>
      <c r="GU29" s="275" t="s">
        <v>421</v>
      </c>
      <c r="GV29" s="275" t="s">
        <v>326</v>
      </c>
      <c r="GW29" s="275" t="s">
        <v>476</v>
      </c>
      <c r="GX29" s="275" t="s">
        <v>592</v>
      </c>
      <c r="GY29" s="491">
        <v>0</v>
      </c>
      <c r="GZ29" s="491">
        <v>395899757</v>
      </c>
      <c r="HA29" s="491">
        <v>395899757</v>
      </c>
      <c r="HB29" s="305">
        <f t="shared" si="49"/>
        <v>0</v>
      </c>
      <c r="HC29" s="305">
        <f t="shared" si="50"/>
        <v>395899.75699999998</v>
      </c>
      <c r="HD29" s="305">
        <f t="shared" si="51"/>
        <v>395899.75699999998</v>
      </c>
    </row>
    <row r="30" spans="1:212" ht="15" customHeight="1" x14ac:dyDescent="0.2">
      <c r="A30" s="286" t="s">
        <v>443</v>
      </c>
      <c r="B30" s="286" t="s">
        <v>444</v>
      </c>
      <c r="C30" s="286" t="s">
        <v>429</v>
      </c>
      <c r="D30" s="286" t="s">
        <v>429</v>
      </c>
      <c r="E30" s="287">
        <v>613392000</v>
      </c>
      <c r="F30" s="287">
        <v>0</v>
      </c>
      <c r="G30" s="287">
        <v>0</v>
      </c>
      <c r="H30" s="371">
        <f t="shared" si="8"/>
        <v>639154.46400000004</v>
      </c>
      <c r="I30" s="371">
        <f t="shared" si="9"/>
        <v>0</v>
      </c>
      <c r="J30" s="371">
        <f t="shared" si="10"/>
        <v>0</v>
      </c>
      <c r="S30" s="286" t="s">
        <v>421</v>
      </c>
      <c r="T30" s="288" t="s">
        <v>326</v>
      </c>
      <c r="U30" s="286" t="s">
        <v>442</v>
      </c>
      <c r="V30" s="288" t="s">
        <v>593</v>
      </c>
      <c r="W30" s="287">
        <v>0</v>
      </c>
      <c r="X30" s="287">
        <v>85000000</v>
      </c>
      <c r="Y30" s="287">
        <v>65000000</v>
      </c>
      <c r="Z30" s="361">
        <f t="shared" si="12"/>
        <v>0</v>
      </c>
      <c r="AA30" s="361">
        <f t="shared" si="13"/>
        <v>88570</v>
      </c>
      <c r="AB30" s="361">
        <f t="shared" si="14"/>
        <v>67730</v>
      </c>
      <c r="AK30" s="286" t="s">
        <v>421</v>
      </c>
      <c r="AL30" s="286" t="s">
        <v>326</v>
      </c>
      <c r="AM30" s="286" t="s">
        <v>429</v>
      </c>
      <c r="AN30" s="286" t="s">
        <v>429</v>
      </c>
      <c r="AO30" s="287">
        <v>0</v>
      </c>
      <c r="AP30" s="287">
        <v>0</v>
      </c>
      <c r="AQ30" s="287">
        <v>0</v>
      </c>
      <c r="AR30" s="287">
        <f t="shared" si="16"/>
        <v>0</v>
      </c>
      <c r="AS30" s="287">
        <f t="shared" si="17"/>
        <v>0</v>
      </c>
      <c r="AT30" s="287">
        <f t="shared" si="18"/>
        <v>0</v>
      </c>
      <c r="BC30" s="286" t="s">
        <v>421</v>
      </c>
      <c r="BD30" s="286" t="s">
        <v>326</v>
      </c>
      <c r="BE30" s="286" t="s">
        <v>467</v>
      </c>
      <c r="BF30" s="286" t="s">
        <v>591</v>
      </c>
      <c r="BG30" s="287">
        <v>0</v>
      </c>
      <c r="BH30" s="287">
        <v>340000000</v>
      </c>
      <c r="BI30" s="287">
        <v>340000000</v>
      </c>
      <c r="BJ30" s="372">
        <f t="shared" si="20"/>
        <v>0</v>
      </c>
      <c r="BK30" s="372">
        <f t="shared" si="21"/>
        <v>340000</v>
      </c>
      <c r="BL30" s="372">
        <f t="shared" si="22"/>
        <v>340000</v>
      </c>
      <c r="BV30" s="286" t="s">
        <v>421</v>
      </c>
      <c r="BW30" s="286" t="s">
        <v>326</v>
      </c>
      <c r="BX30" s="286" t="s">
        <v>589</v>
      </c>
      <c r="BY30" s="286" t="s">
        <v>590</v>
      </c>
      <c r="BZ30" s="287">
        <v>0</v>
      </c>
      <c r="CA30" s="287">
        <v>28109000</v>
      </c>
      <c r="CB30" s="287">
        <v>780000</v>
      </c>
      <c r="CC30" s="287">
        <f t="shared" si="24"/>
        <v>0</v>
      </c>
      <c r="CD30" s="287">
        <f t="shared" si="25"/>
        <v>28109</v>
      </c>
      <c r="CE30" s="287">
        <f t="shared" si="26"/>
        <v>780</v>
      </c>
      <c r="CN30" s="286" t="s">
        <v>421</v>
      </c>
      <c r="CO30" s="286" t="s">
        <v>326</v>
      </c>
      <c r="CP30" s="286" t="s">
        <v>429</v>
      </c>
      <c r="CQ30" s="286" t="s">
        <v>429</v>
      </c>
      <c r="CR30" s="287">
        <v>0</v>
      </c>
      <c r="CS30" s="287">
        <v>0</v>
      </c>
      <c r="CT30" s="287">
        <v>0</v>
      </c>
      <c r="CU30" s="287">
        <f t="shared" si="28"/>
        <v>0</v>
      </c>
      <c r="CV30" s="287">
        <f t="shared" si="29"/>
        <v>0</v>
      </c>
      <c r="CW30" s="287">
        <f t="shared" si="30"/>
        <v>0</v>
      </c>
      <c r="DF30" s="286" t="s">
        <v>421</v>
      </c>
      <c r="DG30" s="288" t="s">
        <v>326</v>
      </c>
      <c r="DH30" s="286" t="s">
        <v>442</v>
      </c>
      <c r="DI30" s="288" t="s">
        <v>593</v>
      </c>
      <c r="DJ30" s="287">
        <v>0</v>
      </c>
      <c r="DK30" s="287">
        <v>117380000</v>
      </c>
      <c r="DL30" s="287">
        <v>80000000</v>
      </c>
      <c r="DM30" s="371">
        <f t="shared" si="32"/>
        <v>0</v>
      </c>
      <c r="DN30" s="371">
        <f t="shared" si="33"/>
        <v>117380</v>
      </c>
      <c r="DO30" s="371">
        <f t="shared" si="34"/>
        <v>80000</v>
      </c>
      <c r="DX30" s="286" t="s">
        <v>421</v>
      </c>
      <c r="DY30" s="288" t="s">
        <v>326</v>
      </c>
      <c r="DZ30" s="286" t="s">
        <v>476</v>
      </c>
      <c r="EA30" s="288" t="s">
        <v>592</v>
      </c>
      <c r="EB30" s="287">
        <v>0</v>
      </c>
      <c r="EC30" s="287">
        <v>101379757</v>
      </c>
      <c r="ED30" s="287">
        <v>81379757</v>
      </c>
      <c r="EE30" s="287">
        <f t="shared" si="36"/>
        <v>0</v>
      </c>
      <c r="EF30" s="287">
        <f t="shared" si="37"/>
        <v>101379.757</v>
      </c>
      <c r="EG30" s="287">
        <f t="shared" si="38"/>
        <v>81379.756999999998</v>
      </c>
      <c r="EQ30" s="286" t="s">
        <v>421</v>
      </c>
      <c r="ER30" s="288" t="s">
        <v>326</v>
      </c>
      <c r="ES30" s="286" t="s">
        <v>429</v>
      </c>
      <c r="ET30" s="286" t="s">
        <v>429</v>
      </c>
      <c r="EU30" s="287">
        <v>0</v>
      </c>
      <c r="EV30" s="287">
        <v>0</v>
      </c>
      <c r="EW30" s="287">
        <v>0</v>
      </c>
      <c r="EX30" s="376">
        <f t="shared" si="40"/>
        <v>0</v>
      </c>
      <c r="EY30" s="376">
        <f t="shared" si="41"/>
        <v>0</v>
      </c>
      <c r="EZ30" s="376">
        <f t="shared" si="42"/>
        <v>0</v>
      </c>
      <c r="FK30" s="297" t="s">
        <v>421</v>
      </c>
      <c r="FL30" s="297" t="s">
        <v>326</v>
      </c>
      <c r="FM30" s="297" t="s">
        <v>429</v>
      </c>
      <c r="FN30" s="297" t="s">
        <v>429</v>
      </c>
      <c r="FO30" s="372">
        <v>0</v>
      </c>
      <c r="FP30" s="372">
        <v>0</v>
      </c>
      <c r="FQ30" s="372">
        <v>0</v>
      </c>
      <c r="FR30" s="372">
        <f t="shared" si="43"/>
        <v>0</v>
      </c>
      <c r="FS30" s="372">
        <f t="shared" si="52"/>
        <v>0</v>
      </c>
      <c r="FT30" s="372">
        <f t="shared" si="53"/>
        <v>0</v>
      </c>
      <c r="GC30" s="275" t="s">
        <v>421</v>
      </c>
      <c r="GD30" s="275" t="s">
        <v>326</v>
      </c>
      <c r="GE30" s="275" t="s">
        <v>589</v>
      </c>
      <c r="GF30" s="275" t="s">
        <v>590</v>
      </c>
      <c r="GG30" s="372">
        <v>0</v>
      </c>
      <c r="GH30" s="372">
        <v>28109000</v>
      </c>
      <c r="GI30" s="372">
        <v>27329000</v>
      </c>
      <c r="GJ30" s="372">
        <f t="shared" si="45"/>
        <v>0</v>
      </c>
      <c r="GK30" s="372">
        <f t="shared" si="46"/>
        <v>28109</v>
      </c>
      <c r="GL30" s="372">
        <f t="shared" si="47"/>
        <v>27329</v>
      </c>
      <c r="GU30" s="275" t="s">
        <v>421</v>
      </c>
      <c r="GV30" s="275" t="s">
        <v>326</v>
      </c>
      <c r="GW30" s="275" t="s">
        <v>429</v>
      </c>
      <c r="GX30" s="275" t="s">
        <v>429</v>
      </c>
      <c r="GY30" s="491">
        <v>0</v>
      </c>
      <c r="GZ30" s="491">
        <v>0</v>
      </c>
      <c r="HA30" s="491">
        <v>0</v>
      </c>
      <c r="HB30" s="305">
        <f t="shared" si="49"/>
        <v>0</v>
      </c>
      <c r="HC30" s="305">
        <f t="shared" si="50"/>
        <v>0</v>
      </c>
      <c r="HD30" s="305">
        <f t="shared" si="51"/>
        <v>0</v>
      </c>
    </row>
    <row r="31" spans="1:212" ht="15" customHeight="1" x14ac:dyDescent="0.2">
      <c r="A31" s="286" t="s">
        <v>443</v>
      </c>
      <c r="B31" s="286" t="s">
        <v>444</v>
      </c>
      <c r="C31" s="286" t="s">
        <v>429</v>
      </c>
      <c r="D31" s="286" t="s">
        <v>429</v>
      </c>
      <c r="E31" s="287">
        <v>0</v>
      </c>
      <c r="F31" s="287">
        <v>134929304</v>
      </c>
      <c r="G31" s="287">
        <v>0</v>
      </c>
      <c r="H31" s="371">
        <f t="shared" si="8"/>
        <v>0</v>
      </c>
      <c r="I31" s="371">
        <f t="shared" si="9"/>
        <v>140596.334768</v>
      </c>
      <c r="J31" s="371">
        <f t="shared" si="10"/>
        <v>0</v>
      </c>
      <c r="S31" s="286" t="s">
        <v>893</v>
      </c>
      <c r="T31" s="288" t="s">
        <v>894</v>
      </c>
      <c r="U31" s="286" t="s">
        <v>429</v>
      </c>
      <c r="V31" s="288" t="s">
        <v>429</v>
      </c>
      <c r="W31" s="287">
        <v>1000</v>
      </c>
      <c r="X31" s="287">
        <v>0</v>
      </c>
      <c r="Y31" s="287">
        <v>0</v>
      </c>
      <c r="Z31" s="361">
        <f t="shared" si="12"/>
        <v>1.042</v>
      </c>
      <c r="AA31" s="361">
        <f t="shared" si="13"/>
        <v>0</v>
      </c>
      <c r="AB31" s="361">
        <f t="shared" si="14"/>
        <v>0</v>
      </c>
      <c r="AK31" s="286" t="s">
        <v>893</v>
      </c>
      <c r="AL31" s="286" t="s">
        <v>894</v>
      </c>
      <c r="AM31" s="286" t="s">
        <v>429</v>
      </c>
      <c r="AN31" s="286" t="s">
        <v>429</v>
      </c>
      <c r="AO31" s="287">
        <v>1000</v>
      </c>
      <c r="AP31" s="287">
        <v>0</v>
      </c>
      <c r="AQ31" s="287">
        <v>0</v>
      </c>
      <c r="AR31" s="287">
        <f t="shared" si="16"/>
        <v>1</v>
      </c>
      <c r="AS31" s="287">
        <f t="shared" si="17"/>
        <v>0</v>
      </c>
      <c r="AT31" s="287">
        <f t="shared" si="18"/>
        <v>0</v>
      </c>
      <c r="BC31" s="286" t="s">
        <v>421</v>
      </c>
      <c r="BD31" s="286" t="s">
        <v>326</v>
      </c>
      <c r="BE31" s="286" t="s">
        <v>589</v>
      </c>
      <c r="BF31" s="286" t="s">
        <v>590</v>
      </c>
      <c r="BG31" s="287">
        <v>0</v>
      </c>
      <c r="BH31" s="287">
        <v>28109000</v>
      </c>
      <c r="BI31" s="287">
        <v>780000</v>
      </c>
      <c r="BJ31" s="372">
        <f t="shared" si="20"/>
        <v>0</v>
      </c>
      <c r="BK31" s="372">
        <f t="shared" si="21"/>
        <v>28109</v>
      </c>
      <c r="BL31" s="372">
        <f t="shared" si="22"/>
        <v>780</v>
      </c>
      <c r="BV31" s="286" t="s">
        <v>421</v>
      </c>
      <c r="BW31" s="286" t="s">
        <v>326</v>
      </c>
      <c r="BX31" s="286" t="s">
        <v>429</v>
      </c>
      <c r="BY31" s="286" t="s">
        <v>429</v>
      </c>
      <c r="BZ31" s="287">
        <v>0</v>
      </c>
      <c r="CA31" s="287">
        <v>0</v>
      </c>
      <c r="CB31" s="287">
        <v>0</v>
      </c>
      <c r="CC31" s="287">
        <f t="shared" si="24"/>
        <v>0</v>
      </c>
      <c r="CD31" s="287">
        <f t="shared" si="25"/>
        <v>0</v>
      </c>
      <c r="CE31" s="287">
        <f t="shared" si="26"/>
        <v>0</v>
      </c>
      <c r="CN31" s="286" t="s">
        <v>421</v>
      </c>
      <c r="CO31" s="286" t="s">
        <v>326</v>
      </c>
      <c r="CP31" s="286" t="s">
        <v>429</v>
      </c>
      <c r="CQ31" s="286" t="s">
        <v>429</v>
      </c>
      <c r="CR31" s="287">
        <v>0</v>
      </c>
      <c r="CS31" s="287">
        <v>0</v>
      </c>
      <c r="CT31" s="287">
        <v>0</v>
      </c>
      <c r="CU31" s="287">
        <f t="shared" si="28"/>
        <v>0</v>
      </c>
      <c r="CV31" s="287">
        <f t="shared" si="29"/>
        <v>0</v>
      </c>
      <c r="CW31" s="287">
        <f t="shared" si="30"/>
        <v>0</v>
      </c>
      <c r="DF31" s="286" t="s">
        <v>421</v>
      </c>
      <c r="DG31" s="288" t="s">
        <v>326</v>
      </c>
      <c r="DH31" s="286" t="s">
        <v>476</v>
      </c>
      <c r="DI31" s="288" t="s">
        <v>592</v>
      </c>
      <c r="DJ31" s="287">
        <v>0</v>
      </c>
      <c r="DK31" s="287">
        <v>81379757</v>
      </c>
      <c r="DL31" s="287">
        <v>55851163</v>
      </c>
      <c r="DM31" s="371">
        <f t="shared" si="32"/>
        <v>0</v>
      </c>
      <c r="DN31" s="371">
        <f t="shared" si="33"/>
        <v>81379.756999999998</v>
      </c>
      <c r="DO31" s="371">
        <f t="shared" si="34"/>
        <v>55851.163</v>
      </c>
      <c r="DX31" s="286" t="s">
        <v>421</v>
      </c>
      <c r="DY31" s="288" t="s">
        <v>326</v>
      </c>
      <c r="DZ31" s="286" t="s">
        <v>442</v>
      </c>
      <c r="EA31" s="288" t="s">
        <v>593</v>
      </c>
      <c r="EB31" s="287">
        <v>0</v>
      </c>
      <c r="EC31" s="287">
        <v>240580000</v>
      </c>
      <c r="ED31" s="287">
        <v>80000000</v>
      </c>
      <c r="EE31" s="287">
        <f t="shared" si="36"/>
        <v>0</v>
      </c>
      <c r="EF31" s="287">
        <f t="shared" si="37"/>
        <v>240580</v>
      </c>
      <c r="EG31" s="287">
        <f t="shared" si="38"/>
        <v>80000</v>
      </c>
      <c r="EQ31" s="286" t="s">
        <v>421</v>
      </c>
      <c r="ER31" s="288" t="s">
        <v>326</v>
      </c>
      <c r="ES31" s="286" t="s">
        <v>476</v>
      </c>
      <c r="ET31" s="286" t="s">
        <v>592</v>
      </c>
      <c r="EU31" s="287">
        <v>0</v>
      </c>
      <c r="EV31" s="287">
        <v>81379757</v>
      </c>
      <c r="EW31" s="287">
        <v>101379757</v>
      </c>
      <c r="EX31" s="376">
        <f t="shared" si="40"/>
        <v>0</v>
      </c>
      <c r="EY31" s="376">
        <f t="shared" si="41"/>
        <v>81379.756999999998</v>
      </c>
      <c r="EZ31" s="376">
        <f t="shared" si="42"/>
        <v>101379.757</v>
      </c>
      <c r="FK31" s="297" t="s">
        <v>421</v>
      </c>
      <c r="FL31" s="297" t="s">
        <v>326</v>
      </c>
      <c r="FM31" s="297" t="s">
        <v>429</v>
      </c>
      <c r="FN31" s="297" t="s">
        <v>429</v>
      </c>
      <c r="FO31" s="372">
        <v>0</v>
      </c>
      <c r="FP31" s="372">
        <v>0</v>
      </c>
      <c r="FQ31" s="372">
        <v>0</v>
      </c>
      <c r="FR31" s="372">
        <f t="shared" si="43"/>
        <v>0</v>
      </c>
      <c r="FS31" s="372">
        <f t="shared" si="52"/>
        <v>0</v>
      </c>
      <c r="FT31" s="372">
        <f t="shared" si="53"/>
        <v>0</v>
      </c>
      <c r="GC31" s="275" t="s">
        <v>421</v>
      </c>
      <c r="GD31" s="275" t="s">
        <v>326</v>
      </c>
      <c r="GE31" s="275" t="s">
        <v>476</v>
      </c>
      <c r="GF31" s="275" t="s">
        <v>592</v>
      </c>
      <c r="GG31" s="372">
        <v>0</v>
      </c>
      <c r="GH31" s="372">
        <v>101379757</v>
      </c>
      <c r="GI31" s="372">
        <v>81379757</v>
      </c>
      <c r="GJ31" s="372">
        <f t="shared" si="45"/>
        <v>0</v>
      </c>
      <c r="GK31" s="372">
        <f t="shared" si="46"/>
        <v>101379.757</v>
      </c>
      <c r="GL31" s="372">
        <f t="shared" si="47"/>
        <v>81379.756999999998</v>
      </c>
      <c r="GU31" s="275" t="s">
        <v>421</v>
      </c>
      <c r="GV31" s="275" t="s">
        <v>326</v>
      </c>
      <c r="GW31" s="275" t="s">
        <v>429</v>
      </c>
      <c r="GX31" s="275" t="s">
        <v>429</v>
      </c>
      <c r="GY31" s="491">
        <v>0</v>
      </c>
      <c r="GZ31" s="491">
        <v>0</v>
      </c>
      <c r="HA31" s="491">
        <v>0</v>
      </c>
      <c r="HB31" s="305">
        <f t="shared" si="49"/>
        <v>0</v>
      </c>
      <c r="HC31" s="305">
        <f t="shared" si="50"/>
        <v>0</v>
      </c>
      <c r="HD31" s="305">
        <f t="shared" si="51"/>
        <v>0</v>
      </c>
    </row>
    <row r="32" spans="1:212" ht="15" customHeight="1" x14ac:dyDescent="0.2">
      <c r="A32" s="286" t="s">
        <v>445</v>
      </c>
      <c r="B32" s="286" t="s">
        <v>446</v>
      </c>
      <c r="C32" s="286" t="s">
        <v>429</v>
      </c>
      <c r="D32" s="286" t="s">
        <v>429</v>
      </c>
      <c r="E32" s="287">
        <v>354224000</v>
      </c>
      <c r="F32" s="287">
        <v>0</v>
      </c>
      <c r="G32" s="287">
        <v>0</v>
      </c>
      <c r="H32" s="371">
        <f t="shared" si="8"/>
        <v>369101.408</v>
      </c>
      <c r="I32" s="371">
        <f t="shared" si="9"/>
        <v>0</v>
      </c>
      <c r="J32" s="371">
        <f t="shared" si="10"/>
        <v>0</v>
      </c>
      <c r="S32" s="286" t="s">
        <v>893</v>
      </c>
      <c r="T32" s="288" t="s">
        <v>894</v>
      </c>
      <c r="U32" s="286" t="s">
        <v>429</v>
      </c>
      <c r="V32" s="288" t="s">
        <v>429</v>
      </c>
      <c r="W32" s="287">
        <v>0</v>
      </c>
      <c r="X32" s="287">
        <v>366427393</v>
      </c>
      <c r="Y32" s="287">
        <v>366427393</v>
      </c>
      <c r="Z32" s="361">
        <f t="shared" si="12"/>
        <v>0</v>
      </c>
      <c r="AA32" s="361">
        <f t="shared" si="13"/>
        <v>381817.343506</v>
      </c>
      <c r="AB32" s="361">
        <f t="shared" si="14"/>
        <v>381817.343506</v>
      </c>
      <c r="AK32" s="286" t="s">
        <v>893</v>
      </c>
      <c r="AL32" s="286" t="s">
        <v>894</v>
      </c>
      <c r="AM32" s="286" t="s">
        <v>429</v>
      </c>
      <c r="AN32" s="286" t="s">
        <v>429</v>
      </c>
      <c r="AO32" s="287">
        <v>0</v>
      </c>
      <c r="AP32" s="287">
        <v>366427393</v>
      </c>
      <c r="AQ32" s="287">
        <v>366427393</v>
      </c>
      <c r="AR32" s="287">
        <f t="shared" si="16"/>
        <v>0</v>
      </c>
      <c r="AS32" s="287">
        <f t="shared" si="17"/>
        <v>366427.39299999998</v>
      </c>
      <c r="AT32" s="287">
        <f t="shared" si="18"/>
        <v>366427.39299999998</v>
      </c>
      <c r="BC32" s="286" t="s">
        <v>893</v>
      </c>
      <c r="BD32" s="286" t="s">
        <v>894</v>
      </c>
      <c r="BE32" s="286" t="s">
        <v>429</v>
      </c>
      <c r="BF32" s="286" t="s">
        <v>429</v>
      </c>
      <c r="BG32" s="287">
        <f>1000+9000+1000</f>
        <v>11000</v>
      </c>
      <c r="BH32" s="287">
        <v>366426</v>
      </c>
      <c r="BI32" s="287">
        <v>0</v>
      </c>
      <c r="BJ32" s="372">
        <f>+BG32/$BJ$1*$BK$1+BH32</f>
        <v>366437</v>
      </c>
      <c r="BK32" s="372">
        <f t="shared" si="21"/>
        <v>366.42599999999999</v>
      </c>
      <c r="BL32" s="372">
        <f t="shared" si="22"/>
        <v>0</v>
      </c>
      <c r="BV32" s="286" t="s">
        <v>421</v>
      </c>
      <c r="BW32" s="286" t="s">
        <v>326</v>
      </c>
      <c r="BX32" s="286" t="s">
        <v>422</v>
      </c>
      <c r="BY32" s="286" t="s">
        <v>470</v>
      </c>
      <c r="BZ32" s="287">
        <v>0</v>
      </c>
      <c r="CA32" s="287">
        <v>160000000</v>
      </c>
      <c r="CB32" s="287">
        <v>111963700</v>
      </c>
      <c r="CC32" s="287">
        <f t="shared" si="24"/>
        <v>0</v>
      </c>
      <c r="CD32" s="287">
        <f t="shared" si="25"/>
        <v>160000</v>
      </c>
      <c r="CE32" s="287">
        <f t="shared" si="26"/>
        <v>111963.7</v>
      </c>
      <c r="CN32" s="286" t="s">
        <v>421</v>
      </c>
      <c r="CO32" s="286" t="s">
        <v>326</v>
      </c>
      <c r="CP32" s="286" t="s">
        <v>422</v>
      </c>
      <c r="CQ32" s="286" t="s">
        <v>470</v>
      </c>
      <c r="CR32" s="287">
        <v>0</v>
      </c>
      <c r="CS32" s="287">
        <v>160000000</v>
      </c>
      <c r="CT32" s="287">
        <v>159963700</v>
      </c>
      <c r="CU32" s="287">
        <f t="shared" si="28"/>
        <v>0</v>
      </c>
      <c r="CV32" s="287">
        <f t="shared" si="29"/>
        <v>160000</v>
      </c>
      <c r="CW32" s="287">
        <f t="shared" si="30"/>
        <v>159963.70000000001</v>
      </c>
      <c r="DF32" s="286" t="s">
        <v>421</v>
      </c>
      <c r="DG32" s="288" t="s">
        <v>326</v>
      </c>
      <c r="DH32" s="286" t="s">
        <v>429</v>
      </c>
      <c r="DI32" s="288" t="s">
        <v>429</v>
      </c>
      <c r="DJ32" s="287">
        <v>0</v>
      </c>
      <c r="DK32" s="287">
        <v>0</v>
      </c>
      <c r="DL32" s="287">
        <v>0</v>
      </c>
      <c r="DM32" s="371">
        <f t="shared" si="32"/>
        <v>0</v>
      </c>
      <c r="DN32" s="371">
        <f t="shared" si="33"/>
        <v>0</v>
      </c>
      <c r="DO32" s="371">
        <f t="shared" si="34"/>
        <v>0</v>
      </c>
      <c r="DX32" s="286" t="s">
        <v>421</v>
      </c>
      <c r="DY32" s="288" t="s">
        <v>326</v>
      </c>
      <c r="DZ32" s="286" t="s">
        <v>467</v>
      </c>
      <c r="EA32" s="288" t="s">
        <v>591</v>
      </c>
      <c r="EB32" s="287">
        <v>0</v>
      </c>
      <c r="EC32" s="287">
        <v>340000000</v>
      </c>
      <c r="ED32" s="287">
        <v>340000000</v>
      </c>
      <c r="EE32" s="287">
        <f t="shared" si="36"/>
        <v>0</v>
      </c>
      <c r="EF32" s="287">
        <f t="shared" si="37"/>
        <v>340000</v>
      </c>
      <c r="EG32" s="287">
        <f t="shared" si="38"/>
        <v>340000</v>
      </c>
      <c r="EQ32" s="286" t="s">
        <v>421</v>
      </c>
      <c r="ER32" s="288" t="s">
        <v>326</v>
      </c>
      <c r="ES32" s="286" t="s">
        <v>442</v>
      </c>
      <c r="ET32" s="286" t="s">
        <v>593</v>
      </c>
      <c r="EU32" s="287">
        <v>0</v>
      </c>
      <c r="EV32" s="287">
        <v>91214000</v>
      </c>
      <c r="EW32" s="287">
        <v>240580000</v>
      </c>
      <c r="EX32" s="376">
        <f t="shared" si="40"/>
        <v>0</v>
      </c>
      <c r="EY32" s="376">
        <f t="shared" si="41"/>
        <v>91214</v>
      </c>
      <c r="EZ32" s="376">
        <f t="shared" si="42"/>
        <v>240580</v>
      </c>
      <c r="FJ32" s="484"/>
      <c r="FK32" s="490" t="s">
        <v>421</v>
      </c>
      <c r="FL32" s="490" t="s">
        <v>326</v>
      </c>
      <c r="FM32" s="490" t="s">
        <v>429</v>
      </c>
      <c r="FN32" s="490" t="s">
        <v>429</v>
      </c>
      <c r="FO32" s="371">
        <v>0</v>
      </c>
      <c r="FP32" s="371">
        <v>0</v>
      </c>
      <c r="FQ32" s="371">
        <v>0</v>
      </c>
      <c r="FR32" s="371">
        <f t="shared" si="43"/>
        <v>0</v>
      </c>
      <c r="FS32" s="371">
        <f t="shared" si="52"/>
        <v>0</v>
      </c>
      <c r="FT32" s="371">
        <f t="shared" si="53"/>
        <v>0</v>
      </c>
      <c r="FU32" s="484"/>
      <c r="FV32" s="484"/>
      <c r="FW32" s="484"/>
      <c r="GC32" s="275" t="s">
        <v>421</v>
      </c>
      <c r="GD32" s="275" t="s">
        <v>326</v>
      </c>
      <c r="GE32" s="275" t="s">
        <v>429</v>
      </c>
      <c r="GF32" s="275" t="s">
        <v>429</v>
      </c>
      <c r="GG32" s="372">
        <v>0</v>
      </c>
      <c r="GH32" s="372">
        <v>0</v>
      </c>
      <c r="GI32" s="372">
        <v>0</v>
      </c>
      <c r="GJ32" s="372">
        <f t="shared" si="45"/>
        <v>0</v>
      </c>
      <c r="GK32" s="372">
        <f t="shared" si="46"/>
        <v>0</v>
      </c>
      <c r="GL32" s="372">
        <f t="shared" si="47"/>
        <v>0</v>
      </c>
      <c r="GU32" s="275" t="s">
        <v>421</v>
      </c>
      <c r="GV32" s="275" t="s">
        <v>326</v>
      </c>
      <c r="GW32" s="275" t="s">
        <v>477</v>
      </c>
      <c r="GX32" s="275" t="s">
        <v>468</v>
      </c>
      <c r="GY32" s="491">
        <v>0</v>
      </c>
      <c r="GZ32" s="491">
        <v>0</v>
      </c>
      <c r="HA32" s="491">
        <v>0</v>
      </c>
      <c r="HB32" s="305">
        <f t="shared" si="49"/>
        <v>0</v>
      </c>
      <c r="HC32" s="305">
        <f t="shared" si="50"/>
        <v>0</v>
      </c>
      <c r="HD32" s="305">
        <f t="shared" si="51"/>
        <v>0</v>
      </c>
    </row>
    <row r="33" spans="1:212" ht="15" customHeight="1" x14ac:dyDescent="0.2">
      <c r="A33" s="286" t="s">
        <v>445</v>
      </c>
      <c r="B33" s="286" t="s">
        <v>446</v>
      </c>
      <c r="C33" s="286" t="s">
        <v>429</v>
      </c>
      <c r="D33" s="286" t="s">
        <v>429</v>
      </c>
      <c r="E33" s="287">
        <v>0</v>
      </c>
      <c r="F33" s="287">
        <v>66088160</v>
      </c>
      <c r="G33" s="287">
        <v>0</v>
      </c>
      <c r="H33" s="371">
        <f t="shared" si="8"/>
        <v>0</v>
      </c>
      <c r="I33" s="371">
        <f t="shared" si="9"/>
        <v>68863.862720000005</v>
      </c>
      <c r="J33" s="371">
        <f t="shared" si="10"/>
        <v>0</v>
      </c>
      <c r="S33" s="286" t="s">
        <v>860</v>
      </c>
      <c r="T33" s="288" t="s">
        <v>51</v>
      </c>
      <c r="U33" s="286" t="s">
        <v>429</v>
      </c>
      <c r="V33" s="288" t="s">
        <v>429</v>
      </c>
      <c r="W33" s="287">
        <v>9000</v>
      </c>
      <c r="X33" s="287">
        <v>0</v>
      </c>
      <c r="Y33" s="287">
        <v>0</v>
      </c>
      <c r="Z33" s="361">
        <f t="shared" si="12"/>
        <v>9.3780000000000001</v>
      </c>
      <c r="AA33" s="361">
        <f t="shared" si="13"/>
        <v>0</v>
      </c>
      <c r="AB33" s="361">
        <f t="shared" si="14"/>
        <v>0</v>
      </c>
      <c r="AK33" s="286" t="s">
        <v>860</v>
      </c>
      <c r="AL33" s="286" t="s">
        <v>51</v>
      </c>
      <c r="AM33" s="286" t="s">
        <v>429</v>
      </c>
      <c r="AN33" s="286" t="s">
        <v>429</v>
      </c>
      <c r="AO33" s="287">
        <v>9000</v>
      </c>
      <c r="AP33" s="287">
        <v>0</v>
      </c>
      <c r="AQ33" s="287">
        <v>0</v>
      </c>
      <c r="AR33" s="287">
        <f t="shared" si="16"/>
        <v>9</v>
      </c>
      <c r="AS33" s="287">
        <f t="shared" si="17"/>
        <v>0</v>
      </c>
      <c r="AT33" s="287">
        <f t="shared" si="18"/>
        <v>0</v>
      </c>
      <c r="BC33" s="286" t="s">
        <v>893</v>
      </c>
      <c r="BD33" s="286" t="s">
        <v>894</v>
      </c>
      <c r="BE33" s="286" t="s">
        <v>429</v>
      </c>
      <c r="BF33" s="286" t="s">
        <v>429</v>
      </c>
      <c r="BG33" s="287">
        <v>366427000</v>
      </c>
      <c r="BH33" s="287">
        <v>366427393</v>
      </c>
      <c r="BI33" s="287">
        <v>366427393</v>
      </c>
      <c r="BJ33" s="372">
        <f t="shared" si="20"/>
        <v>366427</v>
      </c>
      <c r="BK33" s="372">
        <f t="shared" si="21"/>
        <v>366427.39299999998</v>
      </c>
      <c r="BL33" s="372">
        <f t="shared" si="22"/>
        <v>366427.39299999998</v>
      </c>
      <c r="BV33" s="286" t="s">
        <v>421</v>
      </c>
      <c r="BW33" s="286" t="s">
        <v>326</v>
      </c>
      <c r="BX33" s="286" t="s">
        <v>467</v>
      </c>
      <c r="BY33" s="286" t="s">
        <v>591</v>
      </c>
      <c r="BZ33" s="287">
        <v>0</v>
      </c>
      <c r="CA33" s="287">
        <v>340000000</v>
      </c>
      <c r="CB33" s="287">
        <v>340000000</v>
      </c>
      <c r="CC33" s="287">
        <f t="shared" si="24"/>
        <v>0</v>
      </c>
      <c r="CD33" s="287">
        <f t="shared" si="25"/>
        <v>340000</v>
      </c>
      <c r="CE33" s="287">
        <f t="shared" si="26"/>
        <v>340000</v>
      </c>
      <c r="CN33" s="286" t="s">
        <v>421</v>
      </c>
      <c r="CO33" s="286" t="s">
        <v>326</v>
      </c>
      <c r="CP33" s="286" t="s">
        <v>429</v>
      </c>
      <c r="CQ33" s="286" t="s">
        <v>429</v>
      </c>
      <c r="CR33" s="287">
        <v>0</v>
      </c>
      <c r="CS33" s="287">
        <v>0</v>
      </c>
      <c r="CT33" s="287">
        <v>0</v>
      </c>
      <c r="CU33" s="287">
        <f t="shared" si="28"/>
        <v>0</v>
      </c>
      <c r="CV33" s="287">
        <f t="shared" si="29"/>
        <v>0</v>
      </c>
      <c r="CW33" s="287">
        <f t="shared" si="30"/>
        <v>0</v>
      </c>
      <c r="DF33" s="286" t="s">
        <v>421</v>
      </c>
      <c r="DG33" s="288" t="s">
        <v>326</v>
      </c>
      <c r="DH33" s="286" t="s">
        <v>422</v>
      </c>
      <c r="DI33" s="288" t="s">
        <v>470</v>
      </c>
      <c r="DJ33" s="287">
        <v>0</v>
      </c>
      <c r="DK33" s="287">
        <v>159963700</v>
      </c>
      <c r="DL33" s="287">
        <v>159963700</v>
      </c>
      <c r="DM33" s="371">
        <f t="shared" si="32"/>
        <v>0</v>
      </c>
      <c r="DN33" s="371">
        <f t="shared" si="33"/>
        <v>159963.70000000001</v>
      </c>
      <c r="DO33" s="371">
        <f t="shared" si="34"/>
        <v>159963.70000000001</v>
      </c>
      <c r="DX33" s="286" t="s">
        <v>421</v>
      </c>
      <c r="DY33" s="288" t="s">
        <v>326</v>
      </c>
      <c r="DZ33" s="286" t="s">
        <v>429</v>
      </c>
      <c r="EA33" s="288" t="s">
        <v>429</v>
      </c>
      <c r="EB33" s="287">
        <v>0</v>
      </c>
      <c r="EC33" s="287">
        <v>0</v>
      </c>
      <c r="ED33" s="287">
        <v>0</v>
      </c>
      <c r="EE33" s="287">
        <f t="shared" si="36"/>
        <v>0</v>
      </c>
      <c r="EF33" s="287">
        <f t="shared" si="37"/>
        <v>0</v>
      </c>
      <c r="EG33" s="287">
        <f t="shared" si="38"/>
        <v>0</v>
      </c>
      <c r="EQ33" s="286" t="s">
        <v>421</v>
      </c>
      <c r="ER33" s="288" t="s">
        <v>326</v>
      </c>
      <c r="ES33" s="286" t="s">
        <v>467</v>
      </c>
      <c r="ET33" s="286" t="s">
        <v>591</v>
      </c>
      <c r="EU33" s="287">
        <v>0</v>
      </c>
      <c r="EV33" s="287">
        <v>390000000</v>
      </c>
      <c r="EW33" s="287">
        <v>390000000</v>
      </c>
      <c r="EX33" s="376">
        <f t="shared" si="40"/>
        <v>0</v>
      </c>
      <c r="EY33" s="376">
        <f t="shared" si="41"/>
        <v>390000</v>
      </c>
      <c r="EZ33" s="376">
        <f t="shared" si="42"/>
        <v>390000</v>
      </c>
      <c r="FJ33" s="484"/>
      <c r="FK33" s="490" t="s">
        <v>421</v>
      </c>
      <c r="FL33" s="490" t="s">
        <v>326</v>
      </c>
      <c r="FM33" s="490" t="s">
        <v>422</v>
      </c>
      <c r="FN33" s="490" t="s">
        <v>470</v>
      </c>
      <c r="FO33" s="371">
        <v>0</v>
      </c>
      <c r="FP33" s="371">
        <v>159963700</v>
      </c>
      <c r="FQ33" s="371">
        <v>159963700</v>
      </c>
      <c r="FR33" s="371">
        <f t="shared" si="43"/>
        <v>0</v>
      </c>
      <c r="FS33" s="371">
        <f t="shared" si="52"/>
        <v>159963.70000000001</v>
      </c>
      <c r="FT33" s="371">
        <f t="shared" si="53"/>
        <v>159963.70000000001</v>
      </c>
      <c r="FU33" s="484"/>
      <c r="FV33" s="484"/>
      <c r="FW33" s="484"/>
      <c r="GC33" s="275" t="s">
        <v>421</v>
      </c>
      <c r="GD33" s="275" t="s">
        <v>326</v>
      </c>
      <c r="GE33" s="275" t="s">
        <v>467</v>
      </c>
      <c r="GF33" s="275" t="s">
        <v>591</v>
      </c>
      <c r="GG33" s="372">
        <v>0</v>
      </c>
      <c r="GH33" s="372">
        <v>794217140</v>
      </c>
      <c r="GI33" s="372">
        <v>530000000</v>
      </c>
      <c r="GJ33" s="372">
        <f t="shared" si="45"/>
        <v>0</v>
      </c>
      <c r="GK33" s="372">
        <f t="shared" si="46"/>
        <v>794217.14</v>
      </c>
      <c r="GL33" s="372">
        <f t="shared" si="47"/>
        <v>530000</v>
      </c>
      <c r="GU33" s="275" t="s">
        <v>421</v>
      </c>
      <c r="GV33" s="275" t="s">
        <v>326</v>
      </c>
      <c r="GW33" s="275" t="s">
        <v>467</v>
      </c>
      <c r="GX33" s="275" t="s">
        <v>591</v>
      </c>
      <c r="GY33" s="491">
        <v>0</v>
      </c>
      <c r="GZ33" s="491">
        <v>794217140</v>
      </c>
      <c r="HA33" s="491">
        <v>794217140</v>
      </c>
      <c r="HB33" s="305">
        <f t="shared" si="49"/>
        <v>0</v>
      </c>
      <c r="HC33" s="305">
        <f t="shared" si="50"/>
        <v>794217.14</v>
      </c>
      <c r="HD33" s="305">
        <f t="shared" si="51"/>
        <v>794217.14</v>
      </c>
    </row>
    <row r="34" spans="1:212" ht="15" customHeight="1" x14ac:dyDescent="0.2">
      <c r="A34" s="286" t="s">
        <v>504</v>
      </c>
      <c r="B34" s="286" t="s">
        <v>507</v>
      </c>
      <c r="C34" s="286" t="s">
        <v>429</v>
      </c>
      <c r="D34" s="286" t="s">
        <v>429</v>
      </c>
      <c r="E34" s="287">
        <v>329029000</v>
      </c>
      <c r="F34" s="287">
        <v>0</v>
      </c>
      <c r="G34" s="287">
        <v>0</v>
      </c>
      <c r="H34" s="371">
        <f t="shared" si="8"/>
        <v>342848.21799999999</v>
      </c>
      <c r="I34" s="371">
        <f t="shared" si="9"/>
        <v>0</v>
      </c>
      <c r="J34" s="371">
        <f t="shared" si="10"/>
        <v>0</v>
      </c>
      <c r="S34" s="286" t="s">
        <v>443</v>
      </c>
      <c r="T34" s="288" t="s">
        <v>444</v>
      </c>
      <c r="U34" s="286" t="s">
        <v>429</v>
      </c>
      <c r="V34" s="288" t="s">
        <v>429</v>
      </c>
      <c r="W34" s="287">
        <v>482392000</v>
      </c>
      <c r="X34" s="287">
        <v>0</v>
      </c>
      <c r="Y34" s="287">
        <v>0</v>
      </c>
      <c r="Z34" s="361">
        <f t="shared" si="12"/>
        <v>502652.46400000004</v>
      </c>
      <c r="AA34" s="361">
        <f t="shared" si="13"/>
        <v>0</v>
      </c>
      <c r="AB34" s="361">
        <f t="shared" si="14"/>
        <v>0</v>
      </c>
      <c r="AK34" s="286" t="s">
        <v>443</v>
      </c>
      <c r="AL34" s="286" t="s">
        <v>444</v>
      </c>
      <c r="AM34" s="286" t="s">
        <v>429</v>
      </c>
      <c r="AN34" s="286" t="s">
        <v>429</v>
      </c>
      <c r="AO34" s="287">
        <v>512392000</v>
      </c>
      <c r="AP34" s="287">
        <v>0</v>
      </c>
      <c r="AQ34" s="287">
        <v>0</v>
      </c>
      <c r="AR34" s="287">
        <f t="shared" si="16"/>
        <v>512392</v>
      </c>
      <c r="AS34" s="287">
        <f t="shared" si="17"/>
        <v>0</v>
      </c>
      <c r="AT34" s="287">
        <f t="shared" si="18"/>
        <v>0</v>
      </c>
      <c r="BC34" s="286" t="s">
        <v>860</v>
      </c>
      <c r="BD34" s="286" t="s">
        <v>51</v>
      </c>
      <c r="BE34" s="286" t="s">
        <v>429</v>
      </c>
      <c r="BF34" s="286" t="s">
        <v>429</v>
      </c>
      <c r="BG34" s="287">
        <v>9000</v>
      </c>
      <c r="BH34" s="287">
        <v>0</v>
      </c>
      <c r="BI34" s="287">
        <v>0</v>
      </c>
      <c r="BJ34" s="372">
        <f t="shared" si="20"/>
        <v>9</v>
      </c>
      <c r="BK34" s="372">
        <f t="shared" si="21"/>
        <v>0</v>
      </c>
      <c r="BL34" s="372">
        <f t="shared" si="22"/>
        <v>0</v>
      </c>
      <c r="BV34" s="286" t="s">
        <v>893</v>
      </c>
      <c r="BW34" s="286" t="s">
        <v>894</v>
      </c>
      <c r="BX34" s="286" t="s">
        <v>429</v>
      </c>
      <c r="BY34" s="286" t="s">
        <v>429</v>
      </c>
      <c r="BZ34" s="287">
        <v>1000</v>
      </c>
      <c r="CA34" s="287">
        <v>0</v>
      </c>
      <c r="CB34" s="287">
        <v>0</v>
      </c>
      <c r="CC34" s="287">
        <f t="shared" si="24"/>
        <v>1</v>
      </c>
      <c r="CD34" s="287">
        <f t="shared" si="25"/>
        <v>0</v>
      </c>
      <c r="CE34" s="287">
        <f t="shared" si="26"/>
        <v>0</v>
      </c>
      <c r="CN34" s="286" t="s">
        <v>421</v>
      </c>
      <c r="CO34" s="286" t="s">
        <v>326</v>
      </c>
      <c r="CP34" s="286" t="s">
        <v>467</v>
      </c>
      <c r="CQ34" s="286" t="s">
        <v>591</v>
      </c>
      <c r="CR34" s="287">
        <v>0</v>
      </c>
      <c r="CS34" s="287">
        <v>340000000</v>
      </c>
      <c r="CT34" s="287">
        <v>340000000</v>
      </c>
      <c r="CU34" s="287">
        <f t="shared" si="28"/>
        <v>0</v>
      </c>
      <c r="CV34" s="287">
        <f t="shared" si="29"/>
        <v>340000</v>
      </c>
      <c r="CW34" s="287">
        <f t="shared" si="30"/>
        <v>340000</v>
      </c>
      <c r="DF34" s="286" t="s">
        <v>421</v>
      </c>
      <c r="DG34" s="288" t="s">
        <v>326</v>
      </c>
      <c r="DH34" s="286" t="s">
        <v>589</v>
      </c>
      <c r="DI34" s="288" t="s">
        <v>590</v>
      </c>
      <c r="DJ34" s="287">
        <v>0</v>
      </c>
      <c r="DK34" s="287">
        <v>28109000</v>
      </c>
      <c r="DL34" s="287">
        <v>26549000</v>
      </c>
      <c r="DM34" s="371">
        <f t="shared" si="32"/>
        <v>0</v>
      </c>
      <c r="DN34" s="371">
        <f t="shared" si="33"/>
        <v>28109</v>
      </c>
      <c r="DO34" s="371">
        <f t="shared" si="34"/>
        <v>26549</v>
      </c>
      <c r="DX34" s="286" t="s">
        <v>421</v>
      </c>
      <c r="DY34" s="288" t="s">
        <v>326</v>
      </c>
      <c r="DZ34" s="286" t="s">
        <v>429</v>
      </c>
      <c r="EA34" s="288" t="s">
        <v>429</v>
      </c>
      <c r="EB34" s="287">
        <v>0</v>
      </c>
      <c r="EC34" s="287">
        <v>0</v>
      </c>
      <c r="ED34" s="287">
        <v>0</v>
      </c>
      <c r="EE34" s="287">
        <f t="shared" si="36"/>
        <v>0</v>
      </c>
      <c r="EF34" s="287">
        <f t="shared" si="37"/>
        <v>0</v>
      </c>
      <c r="EG34" s="287">
        <f t="shared" si="38"/>
        <v>0</v>
      </c>
      <c r="EQ34" s="286" t="s">
        <v>421</v>
      </c>
      <c r="ER34" s="288" t="s">
        <v>326</v>
      </c>
      <c r="ES34" s="286" t="s">
        <v>422</v>
      </c>
      <c r="ET34" s="286" t="s">
        <v>470</v>
      </c>
      <c r="EU34" s="287">
        <v>0</v>
      </c>
      <c r="EV34" s="287">
        <v>159963700</v>
      </c>
      <c r="EW34" s="287">
        <v>159963700</v>
      </c>
      <c r="EX34" s="376">
        <f t="shared" si="40"/>
        <v>0</v>
      </c>
      <c r="EY34" s="376">
        <f t="shared" si="41"/>
        <v>159963.70000000001</v>
      </c>
      <c r="EZ34" s="376">
        <f t="shared" si="42"/>
        <v>159963.70000000001</v>
      </c>
      <c r="FJ34" s="484"/>
      <c r="FK34" s="490" t="s">
        <v>421</v>
      </c>
      <c r="FL34" s="490" t="s">
        <v>326</v>
      </c>
      <c r="FM34" s="490" t="s">
        <v>467</v>
      </c>
      <c r="FN34" s="490" t="s">
        <v>591</v>
      </c>
      <c r="FO34" s="371">
        <v>0</v>
      </c>
      <c r="FP34" s="371">
        <v>470000000</v>
      </c>
      <c r="FQ34" s="371">
        <v>390000000</v>
      </c>
      <c r="FR34" s="371">
        <f t="shared" si="43"/>
        <v>0</v>
      </c>
      <c r="FS34" s="371">
        <f t="shared" si="52"/>
        <v>470000</v>
      </c>
      <c r="FT34" s="371">
        <f t="shared" si="53"/>
        <v>390000</v>
      </c>
      <c r="FU34" s="484"/>
      <c r="FV34" s="484"/>
      <c r="FW34" s="484"/>
      <c r="GC34" s="275" t="s">
        <v>421</v>
      </c>
      <c r="GD34" s="275" t="s">
        <v>326</v>
      </c>
      <c r="GE34" s="275" t="s">
        <v>422</v>
      </c>
      <c r="GF34" s="275" t="s">
        <v>470</v>
      </c>
      <c r="GG34" s="372">
        <v>0</v>
      </c>
      <c r="GH34" s="372">
        <v>159963700</v>
      </c>
      <c r="GI34" s="372">
        <v>159963700</v>
      </c>
      <c r="GJ34" s="372">
        <f t="shared" si="45"/>
        <v>0</v>
      </c>
      <c r="GK34" s="372">
        <f t="shared" si="46"/>
        <v>159963.70000000001</v>
      </c>
      <c r="GL34" s="372">
        <f t="shared" si="47"/>
        <v>159963.70000000001</v>
      </c>
      <c r="GU34" s="275" t="s">
        <v>421</v>
      </c>
      <c r="GV34" s="275" t="s">
        <v>326</v>
      </c>
      <c r="GW34" s="275" t="s">
        <v>442</v>
      </c>
      <c r="GX34" s="275" t="s">
        <v>593</v>
      </c>
      <c r="GY34" s="491">
        <v>0</v>
      </c>
      <c r="GZ34" s="491">
        <v>269500000</v>
      </c>
      <c r="HA34" s="491">
        <v>269500000</v>
      </c>
      <c r="HB34" s="305">
        <f t="shared" si="49"/>
        <v>0</v>
      </c>
      <c r="HC34" s="305">
        <f t="shared" si="50"/>
        <v>269500</v>
      </c>
      <c r="HD34" s="305">
        <f t="shared" si="51"/>
        <v>269500</v>
      </c>
    </row>
    <row r="35" spans="1:212" ht="15" customHeight="1" x14ac:dyDescent="0.2">
      <c r="A35" s="286" t="s">
        <v>614</v>
      </c>
      <c r="B35" s="286" t="s">
        <v>615</v>
      </c>
      <c r="C35" s="286" t="s">
        <v>429</v>
      </c>
      <c r="D35" s="286" t="s">
        <v>429</v>
      </c>
      <c r="E35" s="287">
        <v>41286000</v>
      </c>
      <c r="F35" s="287">
        <v>0</v>
      </c>
      <c r="G35" s="287">
        <v>0</v>
      </c>
      <c r="H35" s="371">
        <f t="shared" si="8"/>
        <v>43020.012000000002</v>
      </c>
      <c r="I35" s="371">
        <f t="shared" si="9"/>
        <v>0</v>
      </c>
      <c r="J35" s="371">
        <f t="shared" si="10"/>
        <v>0</v>
      </c>
      <c r="S35" s="286" t="s">
        <v>443</v>
      </c>
      <c r="T35" s="288" t="s">
        <v>444</v>
      </c>
      <c r="U35" s="286" t="s">
        <v>429</v>
      </c>
      <c r="V35" s="288" t="s">
        <v>429</v>
      </c>
      <c r="W35" s="287">
        <v>0</v>
      </c>
      <c r="X35" s="287">
        <v>163400130</v>
      </c>
      <c r="Y35" s="287">
        <v>134929304</v>
      </c>
      <c r="Z35" s="361">
        <f t="shared" si="12"/>
        <v>0</v>
      </c>
      <c r="AA35" s="361">
        <f t="shared" si="13"/>
        <v>170262.93546000001</v>
      </c>
      <c r="AB35" s="361">
        <f t="shared" si="14"/>
        <v>140596.334768</v>
      </c>
      <c r="AK35" s="286" t="s">
        <v>443</v>
      </c>
      <c r="AL35" s="286" t="s">
        <v>444</v>
      </c>
      <c r="AM35" s="286" t="s">
        <v>429</v>
      </c>
      <c r="AN35" s="286" t="s">
        <v>429</v>
      </c>
      <c r="AO35" s="287">
        <v>0</v>
      </c>
      <c r="AP35" s="287">
        <v>328877100</v>
      </c>
      <c r="AQ35" s="287">
        <v>134929304</v>
      </c>
      <c r="AR35" s="287">
        <f t="shared" si="16"/>
        <v>0</v>
      </c>
      <c r="AS35" s="287">
        <f t="shared" si="17"/>
        <v>328877.09999999998</v>
      </c>
      <c r="AT35" s="287">
        <f t="shared" si="18"/>
        <v>134929.304</v>
      </c>
      <c r="BC35" s="286" t="s">
        <v>443</v>
      </c>
      <c r="BD35" s="286" t="s">
        <v>444</v>
      </c>
      <c r="BE35" s="286" t="s">
        <v>429</v>
      </c>
      <c r="BF35" s="286" t="s">
        <v>429</v>
      </c>
      <c r="BG35" s="287">
        <v>512392000</v>
      </c>
      <c r="BH35" s="287">
        <v>0</v>
      </c>
      <c r="BI35" s="287">
        <v>0</v>
      </c>
      <c r="BJ35" s="372">
        <f t="shared" si="20"/>
        <v>512392</v>
      </c>
      <c r="BK35" s="372">
        <f t="shared" si="21"/>
        <v>0</v>
      </c>
      <c r="BL35" s="372">
        <f t="shared" si="22"/>
        <v>0</v>
      </c>
      <c r="BV35" s="286" t="s">
        <v>893</v>
      </c>
      <c r="BW35" s="286" t="s">
        <v>894</v>
      </c>
      <c r="BX35" s="286" t="s">
        <v>429</v>
      </c>
      <c r="BY35" s="286" t="s">
        <v>429</v>
      </c>
      <c r="BZ35" s="287">
        <v>0</v>
      </c>
      <c r="CA35" s="287">
        <v>366427393</v>
      </c>
      <c r="CB35" s="287">
        <v>366427393</v>
      </c>
      <c r="CC35" s="287">
        <f t="shared" si="24"/>
        <v>0</v>
      </c>
      <c r="CD35" s="287">
        <f t="shared" si="25"/>
        <v>366427.39299999998</v>
      </c>
      <c r="CE35" s="287">
        <f t="shared" si="26"/>
        <v>366427.39299999998</v>
      </c>
      <c r="CN35" s="286" t="s">
        <v>893</v>
      </c>
      <c r="CO35" s="286" t="s">
        <v>894</v>
      </c>
      <c r="CP35" s="286" t="s">
        <v>429</v>
      </c>
      <c r="CQ35" s="286" t="s">
        <v>429</v>
      </c>
      <c r="CR35" s="287">
        <v>1000</v>
      </c>
      <c r="CS35" s="287">
        <v>0</v>
      </c>
      <c r="CT35" s="287">
        <v>0</v>
      </c>
      <c r="CU35" s="287">
        <f t="shared" si="28"/>
        <v>1</v>
      </c>
      <c r="CV35" s="287">
        <f t="shared" si="29"/>
        <v>0</v>
      </c>
      <c r="CW35" s="287">
        <f t="shared" si="30"/>
        <v>0</v>
      </c>
      <c r="DF35" s="286" t="s">
        <v>893</v>
      </c>
      <c r="DG35" s="288" t="s">
        <v>894</v>
      </c>
      <c r="DH35" s="286" t="s">
        <v>429</v>
      </c>
      <c r="DI35" s="288" t="s">
        <v>429</v>
      </c>
      <c r="DJ35" s="287">
        <v>1000</v>
      </c>
      <c r="DK35" s="287">
        <v>0</v>
      </c>
      <c r="DL35" s="287">
        <v>0</v>
      </c>
      <c r="DM35" s="371">
        <f t="shared" si="32"/>
        <v>1</v>
      </c>
      <c r="DN35" s="371">
        <f t="shared" si="33"/>
        <v>0</v>
      </c>
      <c r="DO35" s="371">
        <f t="shared" si="34"/>
        <v>0</v>
      </c>
      <c r="DX35" s="286" t="s">
        <v>421</v>
      </c>
      <c r="DY35" s="288" t="s">
        <v>326</v>
      </c>
      <c r="DZ35" s="286" t="s">
        <v>589</v>
      </c>
      <c r="EA35" s="288" t="s">
        <v>590</v>
      </c>
      <c r="EB35" s="287">
        <v>0</v>
      </c>
      <c r="EC35" s="287">
        <v>28109000</v>
      </c>
      <c r="ED35" s="287">
        <v>27329000</v>
      </c>
      <c r="EE35" s="287">
        <f t="shared" si="36"/>
        <v>0</v>
      </c>
      <c r="EF35" s="287">
        <f t="shared" si="37"/>
        <v>28109</v>
      </c>
      <c r="EG35" s="287">
        <f t="shared" si="38"/>
        <v>27329</v>
      </c>
      <c r="EQ35" s="286" t="s">
        <v>421</v>
      </c>
      <c r="ER35" s="288" t="s">
        <v>326</v>
      </c>
      <c r="ES35" s="286" t="s">
        <v>429</v>
      </c>
      <c r="ET35" s="286" t="s">
        <v>429</v>
      </c>
      <c r="EU35" s="287">
        <v>0</v>
      </c>
      <c r="EV35" s="287">
        <v>0</v>
      </c>
      <c r="EW35" s="287">
        <v>0</v>
      </c>
      <c r="EX35" s="376">
        <f t="shared" si="40"/>
        <v>0</v>
      </c>
      <c r="EY35" s="376">
        <f t="shared" si="41"/>
        <v>0</v>
      </c>
      <c r="EZ35" s="376">
        <f t="shared" si="42"/>
        <v>0</v>
      </c>
      <c r="FJ35" s="484"/>
      <c r="FK35" s="490" t="s">
        <v>421</v>
      </c>
      <c r="FL35" s="490" t="s">
        <v>326</v>
      </c>
      <c r="FM35" s="490" t="s">
        <v>589</v>
      </c>
      <c r="FN35" s="490" t="s">
        <v>590</v>
      </c>
      <c r="FO35" s="371">
        <v>0</v>
      </c>
      <c r="FP35" s="371">
        <v>28109000</v>
      </c>
      <c r="FQ35" s="371">
        <v>27329000</v>
      </c>
      <c r="FR35" s="371">
        <f t="shared" si="43"/>
        <v>0</v>
      </c>
      <c r="FS35" s="371">
        <f t="shared" si="52"/>
        <v>28109</v>
      </c>
      <c r="FT35" s="371">
        <f t="shared" si="53"/>
        <v>27329</v>
      </c>
      <c r="FU35" s="484"/>
      <c r="FV35" s="484"/>
      <c r="FW35" s="484"/>
      <c r="GC35" s="275" t="s">
        <v>421</v>
      </c>
      <c r="GD35" s="275" t="s">
        <v>326</v>
      </c>
      <c r="GE35" s="275" t="s">
        <v>429</v>
      </c>
      <c r="GF35" s="275" t="s">
        <v>429</v>
      </c>
      <c r="GG35" s="372">
        <v>0</v>
      </c>
      <c r="GH35" s="372">
        <v>0</v>
      </c>
      <c r="GI35" s="372">
        <v>0</v>
      </c>
      <c r="GJ35" s="372">
        <f t="shared" si="45"/>
        <v>0</v>
      </c>
      <c r="GK35" s="372">
        <f t="shared" si="46"/>
        <v>0</v>
      </c>
      <c r="GL35" s="372">
        <f t="shared" si="47"/>
        <v>0</v>
      </c>
      <c r="GU35" s="275" t="s">
        <v>421</v>
      </c>
      <c r="GV35" s="275" t="s">
        <v>326</v>
      </c>
      <c r="GW35" s="275" t="s">
        <v>589</v>
      </c>
      <c r="GX35" s="275" t="s">
        <v>590</v>
      </c>
      <c r="GY35" s="491">
        <v>0</v>
      </c>
      <c r="GZ35" s="491">
        <v>28109000</v>
      </c>
      <c r="HA35" s="491">
        <v>28109000</v>
      </c>
      <c r="HB35" s="305">
        <f t="shared" si="49"/>
        <v>0</v>
      </c>
      <c r="HC35" s="305">
        <f t="shared" si="50"/>
        <v>28109</v>
      </c>
      <c r="HD35" s="305">
        <f t="shared" si="51"/>
        <v>28109</v>
      </c>
    </row>
    <row r="36" spans="1:212" ht="15" customHeight="1" x14ac:dyDescent="0.2">
      <c r="A36" s="286" t="s">
        <v>614</v>
      </c>
      <c r="B36" s="286" t="s">
        <v>615</v>
      </c>
      <c r="C36" s="286" t="s">
        <v>429</v>
      </c>
      <c r="D36" s="286" t="s">
        <v>429</v>
      </c>
      <c r="E36" s="287">
        <v>0</v>
      </c>
      <c r="F36" s="287">
        <v>31185000</v>
      </c>
      <c r="G36" s="287">
        <v>0</v>
      </c>
      <c r="H36" s="371">
        <f t="shared" si="8"/>
        <v>0</v>
      </c>
      <c r="I36" s="371">
        <f t="shared" si="9"/>
        <v>32494.77</v>
      </c>
      <c r="J36" s="371">
        <f t="shared" si="10"/>
        <v>0</v>
      </c>
      <c r="S36" s="286" t="s">
        <v>445</v>
      </c>
      <c r="T36" s="288" t="s">
        <v>446</v>
      </c>
      <c r="U36" s="286" t="s">
        <v>429</v>
      </c>
      <c r="V36" s="288" t="s">
        <v>429</v>
      </c>
      <c r="W36" s="287">
        <v>354224000</v>
      </c>
      <c r="X36" s="287">
        <v>0</v>
      </c>
      <c r="Y36" s="287">
        <v>0</v>
      </c>
      <c r="Z36" s="361">
        <f t="shared" si="12"/>
        <v>369101.408</v>
      </c>
      <c r="AA36" s="361">
        <f t="shared" si="13"/>
        <v>0</v>
      </c>
      <c r="AB36" s="361">
        <f t="shared" si="14"/>
        <v>0</v>
      </c>
      <c r="AK36" s="286" t="s">
        <v>445</v>
      </c>
      <c r="AL36" s="286" t="s">
        <v>446</v>
      </c>
      <c r="AM36" s="286" t="s">
        <v>429</v>
      </c>
      <c r="AN36" s="286" t="s">
        <v>429</v>
      </c>
      <c r="AO36" s="287">
        <v>324224000</v>
      </c>
      <c r="AP36" s="287">
        <v>0</v>
      </c>
      <c r="AQ36" s="287">
        <v>0</v>
      </c>
      <c r="AR36" s="287">
        <f t="shared" si="16"/>
        <v>324224</v>
      </c>
      <c r="AS36" s="287">
        <f t="shared" si="17"/>
        <v>0</v>
      </c>
      <c r="AT36" s="287">
        <f t="shared" si="18"/>
        <v>0</v>
      </c>
      <c r="BC36" s="286" t="s">
        <v>443</v>
      </c>
      <c r="BD36" s="286" t="s">
        <v>444</v>
      </c>
      <c r="BE36" s="286" t="s">
        <v>429</v>
      </c>
      <c r="BF36" s="286" t="s">
        <v>429</v>
      </c>
      <c r="BG36" s="287">
        <v>0</v>
      </c>
      <c r="BH36" s="287">
        <v>328877100</v>
      </c>
      <c r="BI36" s="287">
        <v>193113641</v>
      </c>
      <c r="BJ36" s="372">
        <f t="shared" si="20"/>
        <v>0</v>
      </c>
      <c r="BK36" s="372">
        <f t="shared" si="21"/>
        <v>328877.09999999998</v>
      </c>
      <c r="BL36" s="372">
        <f t="shared" si="22"/>
        <v>193113.641</v>
      </c>
      <c r="BV36" s="286" t="s">
        <v>860</v>
      </c>
      <c r="BW36" s="286" t="s">
        <v>51</v>
      </c>
      <c r="BX36" s="286" t="s">
        <v>429</v>
      </c>
      <c r="BY36" s="286" t="s">
        <v>429</v>
      </c>
      <c r="BZ36" s="287">
        <v>366436000</v>
      </c>
      <c r="CA36" s="287">
        <v>0</v>
      </c>
      <c r="CB36" s="287">
        <v>0</v>
      </c>
      <c r="CC36" s="287">
        <f t="shared" si="24"/>
        <v>366436</v>
      </c>
      <c r="CD36" s="287">
        <f t="shared" si="25"/>
        <v>0</v>
      </c>
      <c r="CE36" s="287">
        <f t="shared" si="26"/>
        <v>0</v>
      </c>
      <c r="CN36" s="286" t="s">
        <v>893</v>
      </c>
      <c r="CO36" s="286" t="s">
        <v>894</v>
      </c>
      <c r="CP36" s="286" t="s">
        <v>429</v>
      </c>
      <c r="CQ36" s="286" t="s">
        <v>429</v>
      </c>
      <c r="CR36" s="287">
        <v>0</v>
      </c>
      <c r="CS36" s="287">
        <v>366427393</v>
      </c>
      <c r="CT36" s="287">
        <v>366427393</v>
      </c>
      <c r="CU36" s="287">
        <f t="shared" si="28"/>
        <v>0</v>
      </c>
      <c r="CV36" s="287">
        <f t="shared" si="29"/>
        <v>366427.39299999998</v>
      </c>
      <c r="CW36" s="287">
        <f t="shared" si="30"/>
        <v>366427.39299999998</v>
      </c>
      <c r="DF36" s="286" t="s">
        <v>893</v>
      </c>
      <c r="DG36" s="288" t="s">
        <v>894</v>
      </c>
      <c r="DH36" s="286" t="s">
        <v>429</v>
      </c>
      <c r="DI36" s="288" t="s">
        <v>429</v>
      </c>
      <c r="DJ36" s="287">
        <v>0</v>
      </c>
      <c r="DK36" s="287">
        <v>366427393</v>
      </c>
      <c r="DL36" s="287">
        <v>366427393</v>
      </c>
      <c r="DM36" s="371">
        <f t="shared" si="32"/>
        <v>0</v>
      </c>
      <c r="DN36" s="371">
        <f t="shared" si="33"/>
        <v>366427.39299999998</v>
      </c>
      <c r="DO36" s="371">
        <f t="shared" si="34"/>
        <v>366427.39299999998</v>
      </c>
      <c r="DX36" s="286" t="s">
        <v>893</v>
      </c>
      <c r="DY36" s="288" t="s">
        <v>894</v>
      </c>
      <c r="DZ36" s="286" t="s">
        <v>429</v>
      </c>
      <c r="EA36" s="288" t="s">
        <v>429</v>
      </c>
      <c r="EB36" s="287">
        <v>1000</v>
      </c>
      <c r="EC36" s="287">
        <v>0</v>
      </c>
      <c r="ED36" s="287">
        <v>0</v>
      </c>
      <c r="EE36" s="287">
        <f t="shared" si="36"/>
        <v>1</v>
      </c>
      <c r="EF36" s="287">
        <f t="shared" si="37"/>
        <v>0</v>
      </c>
      <c r="EG36" s="287">
        <f t="shared" si="38"/>
        <v>0</v>
      </c>
      <c r="EQ36" s="286" t="s">
        <v>893</v>
      </c>
      <c r="ER36" s="288" t="s">
        <v>894</v>
      </c>
      <c r="ES36" s="286" t="s">
        <v>429</v>
      </c>
      <c r="ET36" s="286" t="s">
        <v>429</v>
      </c>
      <c r="EU36" s="287">
        <v>1000</v>
      </c>
      <c r="EV36" s="287">
        <v>0</v>
      </c>
      <c r="EW36" s="287">
        <v>0</v>
      </c>
      <c r="EX36" s="376">
        <f t="shared" si="40"/>
        <v>1</v>
      </c>
      <c r="EY36" s="376">
        <f t="shared" si="41"/>
        <v>0</v>
      </c>
      <c r="EZ36" s="376">
        <f t="shared" si="42"/>
        <v>0</v>
      </c>
      <c r="FJ36" s="484"/>
      <c r="FK36" s="490" t="s">
        <v>893</v>
      </c>
      <c r="FL36" s="490" t="s">
        <v>894</v>
      </c>
      <c r="FM36" s="490" t="s">
        <v>429</v>
      </c>
      <c r="FN36" s="490" t="s">
        <v>429</v>
      </c>
      <c r="FO36" s="371">
        <v>1000</v>
      </c>
      <c r="FP36" s="371">
        <v>0</v>
      </c>
      <c r="FQ36" s="371">
        <v>0</v>
      </c>
      <c r="FR36" s="371">
        <f t="shared" si="43"/>
        <v>1</v>
      </c>
      <c r="FS36" s="371">
        <f t="shared" si="52"/>
        <v>0</v>
      </c>
      <c r="FT36" s="371">
        <f t="shared" si="53"/>
        <v>0</v>
      </c>
      <c r="FU36" s="484"/>
      <c r="FV36" s="484"/>
      <c r="FW36" s="484"/>
      <c r="GC36" s="275" t="s">
        <v>421</v>
      </c>
      <c r="GD36" s="275" t="s">
        <v>326</v>
      </c>
      <c r="GE36" s="275" t="s">
        <v>442</v>
      </c>
      <c r="GF36" s="275" t="s">
        <v>593</v>
      </c>
      <c r="GG36" s="372">
        <v>0</v>
      </c>
      <c r="GH36" s="372">
        <v>240580000</v>
      </c>
      <c r="GI36" s="372">
        <v>161654000</v>
      </c>
      <c r="GJ36" s="372">
        <f t="shared" si="45"/>
        <v>0</v>
      </c>
      <c r="GK36" s="372">
        <f t="shared" si="46"/>
        <v>240580</v>
      </c>
      <c r="GL36" s="372">
        <f t="shared" si="47"/>
        <v>161654</v>
      </c>
      <c r="GU36" s="275" t="s">
        <v>421</v>
      </c>
      <c r="GV36" s="275" t="s">
        <v>326</v>
      </c>
      <c r="GW36" s="275" t="s">
        <v>422</v>
      </c>
      <c r="GX36" s="275" t="s">
        <v>470</v>
      </c>
      <c r="GY36" s="491">
        <v>0</v>
      </c>
      <c r="GZ36" s="491">
        <v>159963700</v>
      </c>
      <c r="HA36" s="491">
        <v>159963700</v>
      </c>
      <c r="HB36" s="305">
        <f t="shared" si="49"/>
        <v>0</v>
      </c>
      <c r="HC36" s="305">
        <f t="shared" si="50"/>
        <v>159963.70000000001</v>
      </c>
      <c r="HD36" s="305">
        <f t="shared" si="51"/>
        <v>159963.70000000001</v>
      </c>
    </row>
    <row r="37" spans="1:212" ht="15" customHeight="1" x14ac:dyDescent="0.2">
      <c r="A37" s="286" t="s">
        <v>616</v>
      </c>
      <c r="B37" s="286" t="s">
        <v>617</v>
      </c>
      <c r="C37" s="286" t="s">
        <v>429</v>
      </c>
      <c r="D37" s="286" t="s">
        <v>429</v>
      </c>
      <c r="E37" s="287">
        <v>58980000</v>
      </c>
      <c r="F37" s="287">
        <v>0</v>
      </c>
      <c r="G37" s="287">
        <v>0</v>
      </c>
      <c r="H37" s="371">
        <f t="shared" si="8"/>
        <v>61457.16</v>
      </c>
      <c r="I37" s="371">
        <f t="shared" si="9"/>
        <v>0</v>
      </c>
      <c r="J37" s="371">
        <f t="shared" si="10"/>
        <v>0</v>
      </c>
      <c r="S37" s="286" t="s">
        <v>445</v>
      </c>
      <c r="T37" s="288" t="s">
        <v>446</v>
      </c>
      <c r="U37" s="286" t="s">
        <v>429</v>
      </c>
      <c r="V37" s="288" t="s">
        <v>429</v>
      </c>
      <c r="W37" s="287">
        <v>0</v>
      </c>
      <c r="X37" s="287">
        <v>66088160</v>
      </c>
      <c r="Y37" s="287">
        <v>5550000</v>
      </c>
      <c r="Z37" s="361">
        <f t="shared" si="12"/>
        <v>0</v>
      </c>
      <c r="AA37" s="361">
        <f t="shared" si="13"/>
        <v>68863.862720000005</v>
      </c>
      <c r="AB37" s="361">
        <f t="shared" si="14"/>
        <v>5783.1</v>
      </c>
      <c r="AK37" s="286" t="s">
        <v>445</v>
      </c>
      <c r="AL37" s="286" t="s">
        <v>446</v>
      </c>
      <c r="AM37" s="286" t="s">
        <v>429</v>
      </c>
      <c r="AN37" s="286" t="s">
        <v>429</v>
      </c>
      <c r="AO37" s="287">
        <v>0</v>
      </c>
      <c r="AP37" s="287">
        <v>69426092</v>
      </c>
      <c r="AQ37" s="287">
        <v>21493098</v>
      </c>
      <c r="AR37" s="287">
        <f t="shared" si="16"/>
        <v>0</v>
      </c>
      <c r="AS37" s="287">
        <f t="shared" si="17"/>
        <v>69426.092000000004</v>
      </c>
      <c r="AT37" s="287">
        <f t="shared" si="18"/>
        <v>21493.098000000002</v>
      </c>
      <c r="BC37" s="286" t="s">
        <v>445</v>
      </c>
      <c r="BD37" s="286" t="s">
        <v>446</v>
      </c>
      <c r="BE37" s="286" t="s">
        <v>429</v>
      </c>
      <c r="BF37" s="286" t="s">
        <v>429</v>
      </c>
      <c r="BG37" s="287">
        <v>324224000</v>
      </c>
      <c r="BH37" s="287">
        <v>0</v>
      </c>
      <c r="BI37" s="287">
        <v>0</v>
      </c>
      <c r="BJ37" s="372">
        <f t="shared" si="20"/>
        <v>324224</v>
      </c>
      <c r="BK37" s="372">
        <f t="shared" si="21"/>
        <v>0</v>
      </c>
      <c r="BL37" s="372">
        <f t="shared" si="22"/>
        <v>0</v>
      </c>
      <c r="BV37" s="286" t="s">
        <v>443</v>
      </c>
      <c r="BW37" s="286" t="s">
        <v>444</v>
      </c>
      <c r="BX37" s="286" t="s">
        <v>429</v>
      </c>
      <c r="BY37" s="286" t="s">
        <v>429</v>
      </c>
      <c r="BZ37" s="287">
        <v>512392000</v>
      </c>
      <c r="CA37" s="287">
        <v>0</v>
      </c>
      <c r="CB37" s="287">
        <v>0</v>
      </c>
      <c r="CC37" s="287">
        <f t="shared" si="24"/>
        <v>512392</v>
      </c>
      <c r="CD37" s="287">
        <f t="shared" si="25"/>
        <v>0</v>
      </c>
      <c r="CE37" s="287">
        <f t="shared" si="26"/>
        <v>0</v>
      </c>
      <c r="CN37" s="286" t="s">
        <v>860</v>
      </c>
      <c r="CO37" s="286" t="s">
        <v>51</v>
      </c>
      <c r="CP37" s="286" t="s">
        <v>429</v>
      </c>
      <c r="CQ37" s="286" t="s">
        <v>429</v>
      </c>
      <c r="CR37" s="287">
        <v>366436000</v>
      </c>
      <c r="CS37" s="287">
        <v>0</v>
      </c>
      <c r="CT37" s="287">
        <v>0</v>
      </c>
      <c r="CU37" s="287">
        <f t="shared" si="28"/>
        <v>366436</v>
      </c>
      <c r="CV37" s="287">
        <f t="shared" si="29"/>
        <v>0</v>
      </c>
      <c r="CW37" s="287">
        <f t="shared" si="30"/>
        <v>0</v>
      </c>
      <c r="DF37" s="286" t="s">
        <v>860</v>
      </c>
      <c r="DG37" s="288" t="s">
        <v>51</v>
      </c>
      <c r="DH37" s="286" t="s">
        <v>429</v>
      </c>
      <c r="DI37" s="288" t="s">
        <v>429</v>
      </c>
      <c r="DJ37" s="287">
        <v>366436000</v>
      </c>
      <c r="DK37" s="287">
        <v>0</v>
      </c>
      <c r="DL37" s="287">
        <v>0</v>
      </c>
      <c r="DM37" s="371">
        <f t="shared" si="32"/>
        <v>366436</v>
      </c>
      <c r="DN37" s="371">
        <f t="shared" si="33"/>
        <v>0</v>
      </c>
      <c r="DO37" s="371">
        <f t="shared" si="34"/>
        <v>0</v>
      </c>
      <c r="DX37" s="286" t="s">
        <v>893</v>
      </c>
      <c r="DY37" s="288" t="s">
        <v>894</v>
      </c>
      <c r="DZ37" s="286" t="s">
        <v>429</v>
      </c>
      <c r="EA37" s="288" t="s">
        <v>429</v>
      </c>
      <c r="EB37" s="287">
        <v>0</v>
      </c>
      <c r="EC37" s="287">
        <v>366427393</v>
      </c>
      <c r="ED37" s="287">
        <v>366427393</v>
      </c>
      <c r="EE37" s="287">
        <f t="shared" si="36"/>
        <v>0</v>
      </c>
      <c r="EF37" s="287">
        <f t="shared" si="37"/>
        <v>366427.39299999998</v>
      </c>
      <c r="EG37" s="287">
        <f t="shared" si="38"/>
        <v>366427.39299999998</v>
      </c>
      <c r="EQ37" s="286" t="s">
        <v>893</v>
      </c>
      <c r="ER37" s="288" t="s">
        <v>894</v>
      </c>
      <c r="ES37" s="286" t="s">
        <v>429</v>
      </c>
      <c r="ET37" s="286" t="s">
        <v>429</v>
      </c>
      <c r="EU37" s="287">
        <v>0</v>
      </c>
      <c r="EV37" s="287">
        <v>366427393</v>
      </c>
      <c r="EW37" s="287">
        <v>366427393</v>
      </c>
      <c r="EX37" s="376">
        <f t="shared" si="40"/>
        <v>0</v>
      </c>
      <c r="EY37" s="376">
        <f t="shared" si="41"/>
        <v>366427.39299999998</v>
      </c>
      <c r="EZ37" s="376">
        <f t="shared" si="42"/>
        <v>366427.39299999998</v>
      </c>
      <c r="FJ37" s="484"/>
      <c r="FK37" s="490" t="s">
        <v>893</v>
      </c>
      <c r="FL37" s="490" t="s">
        <v>894</v>
      </c>
      <c r="FM37" s="490" t="s">
        <v>429</v>
      </c>
      <c r="FN37" s="490" t="s">
        <v>429</v>
      </c>
      <c r="FO37" s="371">
        <v>0</v>
      </c>
      <c r="FP37" s="371">
        <v>366427393</v>
      </c>
      <c r="FQ37" s="371">
        <v>366427393</v>
      </c>
      <c r="FR37" s="371">
        <f t="shared" si="43"/>
        <v>0</v>
      </c>
      <c r="FS37" s="371">
        <f t="shared" si="52"/>
        <v>366427.39299999998</v>
      </c>
      <c r="FT37" s="371">
        <f t="shared" si="53"/>
        <v>366427.39299999998</v>
      </c>
      <c r="FU37" s="484"/>
      <c r="FV37" s="484"/>
      <c r="FW37" s="484"/>
      <c r="GC37" s="275" t="s">
        <v>421</v>
      </c>
      <c r="GD37" s="275" t="s">
        <v>326</v>
      </c>
      <c r="GE37" s="275" t="s">
        <v>429</v>
      </c>
      <c r="GF37" s="275" t="s">
        <v>429</v>
      </c>
      <c r="GG37" s="372">
        <v>0</v>
      </c>
      <c r="GH37" s="372">
        <v>0</v>
      </c>
      <c r="GI37" s="372">
        <v>0</v>
      </c>
      <c r="GJ37" s="372">
        <f t="shared" si="45"/>
        <v>0</v>
      </c>
      <c r="GK37" s="372">
        <f t="shared" si="46"/>
        <v>0</v>
      </c>
      <c r="GL37" s="372">
        <f t="shared" si="47"/>
        <v>0</v>
      </c>
      <c r="GU37" s="275" t="s">
        <v>421</v>
      </c>
      <c r="GV37" s="275" t="s">
        <v>326</v>
      </c>
      <c r="GW37" s="275" t="s">
        <v>429</v>
      </c>
      <c r="GX37" s="275" t="s">
        <v>429</v>
      </c>
      <c r="GY37" s="491">
        <v>0</v>
      </c>
      <c r="GZ37" s="491">
        <v>0</v>
      </c>
      <c r="HA37" s="491">
        <v>0</v>
      </c>
      <c r="HB37" s="305">
        <f t="shared" si="49"/>
        <v>0</v>
      </c>
      <c r="HC37" s="305">
        <f t="shared" si="50"/>
        <v>0</v>
      </c>
      <c r="HD37" s="305">
        <f t="shared" si="51"/>
        <v>0</v>
      </c>
    </row>
    <row r="38" spans="1:212" ht="15" customHeight="1" x14ac:dyDescent="0.2">
      <c r="A38" s="286" t="s">
        <v>434</v>
      </c>
      <c r="B38" s="286" t="s">
        <v>127</v>
      </c>
      <c r="C38" s="286" t="s">
        <v>429</v>
      </c>
      <c r="D38" s="286" t="s">
        <v>429</v>
      </c>
      <c r="E38" s="287">
        <v>10100</v>
      </c>
      <c r="F38" s="287">
        <v>0</v>
      </c>
      <c r="G38" s="287">
        <v>0</v>
      </c>
      <c r="H38" s="371">
        <f t="shared" si="8"/>
        <v>10.5242</v>
      </c>
      <c r="I38" s="371">
        <f t="shared" si="9"/>
        <v>0</v>
      </c>
      <c r="J38" s="371">
        <f t="shared" si="10"/>
        <v>0</v>
      </c>
      <c r="S38" s="286" t="s">
        <v>504</v>
      </c>
      <c r="T38" s="288" t="s">
        <v>507</v>
      </c>
      <c r="U38" s="286" t="s">
        <v>429</v>
      </c>
      <c r="V38" s="288" t="s">
        <v>429</v>
      </c>
      <c r="W38" s="287">
        <v>329029000</v>
      </c>
      <c r="X38" s="287">
        <v>0</v>
      </c>
      <c r="Y38" s="287">
        <v>0</v>
      </c>
      <c r="Z38" s="361">
        <f t="shared" si="12"/>
        <v>342848.21799999999</v>
      </c>
      <c r="AA38" s="361">
        <f t="shared" si="13"/>
        <v>0</v>
      </c>
      <c r="AB38" s="361">
        <f t="shared" si="14"/>
        <v>0</v>
      </c>
      <c r="AK38" s="286" t="s">
        <v>504</v>
      </c>
      <c r="AL38" s="286" t="s">
        <v>507</v>
      </c>
      <c r="AM38" s="286" t="s">
        <v>429</v>
      </c>
      <c r="AN38" s="286" t="s">
        <v>429</v>
      </c>
      <c r="AO38" s="287">
        <v>329029000</v>
      </c>
      <c r="AP38" s="287">
        <v>0</v>
      </c>
      <c r="AQ38" s="287">
        <v>0</v>
      </c>
      <c r="AR38" s="287">
        <f t="shared" si="16"/>
        <v>329029</v>
      </c>
      <c r="AS38" s="287">
        <f t="shared" si="17"/>
        <v>0</v>
      </c>
      <c r="AT38" s="287">
        <f t="shared" si="18"/>
        <v>0</v>
      </c>
      <c r="BC38" s="286" t="s">
        <v>445</v>
      </c>
      <c r="BD38" s="286" t="s">
        <v>446</v>
      </c>
      <c r="BE38" s="286" t="s">
        <v>429</v>
      </c>
      <c r="BF38" s="286" t="s">
        <v>429</v>
      </c>
      <c r="BG38" s="287">
        <v>0</v>
      </c>
      <c r="BH38" s="287">
        <v>155926092</v>
      </c>
      <c r="BI38" s="287">
        <v>41791541</v>
      </c>
      <c r="BJ38" s="372">
        <f t="shared" si="20"/>
        <v>0</v>
      </c>
      <c r="BK38" s="372">
        <f t="shared" si="21"/>
        <v>155926.092</v>
      </c>
      <c r="BL38" s="372">
        <f t="shared" si="22"/>
        <v>41791.540999999997</v>
      </c>
      <c r="BV38" s="286" t="s">
        <v>443</v>
      </c>
      <c r="BW38" s="286" t="s">
        <v>444</v>
      </c>
      <c r="BX38" s="286" t="s">
        <v>429</v>
      </c>
      <c r="BY38" s="286" t="s">
        <v>429</v>
      </c>
      <c r="BZ38" s="287">
        <v>0</v>
      </c>
      <c r="CA38" s="287">
        <v>357347926</v>
      </c>
      <c r="CB38" s="287">
        <v>240089144</v>
      </c>
      <c r="CC38" s="287">
        <f t="shared" si="24"/>
        <v>0</v>
      </c>
      <c r="CD38" s="287">
        <f t="shared" si="25"/>
        <v>357347.92599999998</v>
      </c>
      <c r="CE38" s="287">
        <f t="shared" si="26"/>
        <v>240089.144</v>
      </c>
      <c r="CN38" s="286" t="s">
        <v>443</v>
      </c>
      <c r="CO38" s="286" t="s">
        <v>444</v>
      </c>
      <c r="CP38" s="286" t="s">
        <v>429</v>
      </c>
      <c r="CQ38" s="286" t="s">
        <v>429</v>
      </c>
      <c r="CR38" s="287">
        <v>512392000</v>
      </c>
      <c r="CS38" s="287">
        <v>0</v>
      </c>
      <c r="CT38" s="287">
        <v>0</v>
      </c>
      <c r="CU38" s="287">
        <f t="shared" si="28"/>
        <v>512392</v>
      </c>
      <c r="CV38" s="287">
        <f t="shared" si="29"/>
        <v>0</v>
      </c>
      <c r="CW38" s="287">
        <f t="shared" si="30"/>
        <v>0</v>
      </c>
      <c r="DF38" s="286" t="s">
        <v>443</v>
      </c>
      <c r="DG38" s="288" t="s">
        <v>444</v>
      </c>
      <c r="DH38" s="286" t="s">
        <v>429</v>
      </c>
      <c r="DI38" s="288" t="s">
        <v>429</v>
      </c>
      <c r="DJ38" s="287">
        <v>512392000</v>
      </c>
      <c r="DK38" s="287">
        <v>0</v>
      </c>
      <c r="DL38" s="287">
        <v>0</v>
      </c>
      <c r="DM38" s="371">
        <f t="shared" si="32"/>
        <v>512392</v>
      </c>
      <c r="DN38" s="371">
        <f t="shared" si="33"/>
        <v>0</v>
      </c>
      <c r="DO38" s="371">
        <f t="shared" si="34"/>
        <v>0</v>
      </c>
      <c r="DX38" s="286" t="s">
        <v>860</v>
      </c>
      <c r="DY38" s="288" t="s">
        <v>51</v>
      </c>
      <c r="DZ38" s="286" t="s">
        <v>429</v>
      </c>
      <c r="EA38" s="288" t="s">
        <v>429</v>
      </c>
      <c r="EB38" s="287">
        <v>366436000</v>
      </c>
      <c r="EC38" s="287">
        <v>0</v>
      </c>
      <c r="ED38" s="287">
        <v>0</v>
      </c>
      <c r="EE38" s="287">
        <f t="shared" si="36"/>
        <v>366436</v>
      </c>
      <c r="EF38" s="287">
        <f t="shared" si="37"/>
        <v>0</v>
      </c>
      <c r="EG38" s="287">
        <f t="shared" si="38"/>
        <v>0</v>
      </c>
      <c r="EQ38" s="286" t="s">
        <v>860</v>
      </c>
      <c r="ER38" s="288" t="s">
        <v>51</v>
      </c>
      <c r="ES38" s="286" t="s">
        <v>429</v>
      </c>
      <c r="ET38" s="286" t="s">
        <v>429</v>
      </c>
      <c r="EU38" s="287">
        <v>366436000</v>
      </c>
      <c r="EV38" s="287">
        <v>0</v>
      </c>
      <c r="EW38" s="287">
        <v>0</v>
      </c>
      <c r="EX38" s="376">
        <f t="shared" si="40"/>
        <v>366436</v>
      </c>
      <c r="EY38" s="376">
        <f t="shared" si="41"/>
        <v>0</v>
      </c>
      <c r="EZ38" s="376">
        <f t="shared" si="42"/>
        <v>0</v>
      </c>
      <c r="FJ38" s="484"/>
      <c r="FK38" s="490" t="s">
        <v>860</v>
      </c>
      <c r="FL38" s="490" t="s">
        <v>51</v>
      </c>
      <c r="FM38" s="490" t="s">
        <v>429</v>
      </c>
      <c r="FN38" s="490" t="s">
        <v>429</v>
      </c>
      <c r="FO38" s="371">
        <v>366436000</v>
      </c>
      <c r="FP38" s="371">
        <v>0</v>
      </c>
      <c r="FQ38" s="371">
        <v>0</v>
      </c>
      <c r="FR38" s="371">
        <f t="shared" si="43"/>
        <v>366436</v>
      </c>
      <c r="FS38" s="371">
        <f t="shared" si="52"/>
        <v>0</v>
      </c>
      <c r="FT38" s="371">
        <f t="shared" si="53"/>
        <v>0</v>
      </c>
      <c r="FU38" s="484"/>
      <c r="FV38" s="484"/>
      <c r="FW38" s="484"/>
      <c r="GC38" s="275" t="s">
        <v>893</v>
      </c>
      <c r="GD38" s="275" t="s">
        <v>894</v>
      </c>
      <c r="GE38" s="275" t="s">
        <v>429</v>
      </c>
      <c r="GF38" s="275" t="s">
        <v>429</v>
      </c>
      <c r="GG38" s="372">
        <v>366437000</v>
      </c>
      <c r="GH38" s="372">
        <v>0</v>
      </c>
      <c r="GI38" s="372">
        <v>0</v>
      </c>
      <c r="GJ38" s="372">
        <f t="shared" si="45"/>
        <v>366437</v>
      </c>
      <c r="GK38" s="372">
        <f t="shared" si="46"/>
        <v>0</v>
      </c>
      <c r="GL38" s="372">
        <f t="shared" si="47"/>
        <v>0</v>
      </c>
      <c r="GU38" s="275" t="s">
        <v>893</v>
      </c>
      <c r="GV38" s="275" t="s">
        <v>894</v>
      </c>
      <c r="GW38" s="275" t="s">
        <v>429</v>
      </c>
      <c r="GX38" s="275" t="s">
        <v>429</v>
      </c>
      <c r="GY38" s="491">
        <v>363838250</v>
      </c>
      <c r="GZ38" s="491">
        <v>0</v>
      </c>
      <c r="HA38" s="491">
        <v>0</v>
      </c>
      <c r="HB38" s="305">
        <f t="shared" si="49"/>
        <v>363838.25</v>
      </c>
      <c r="HC38" s="305">
        <f t="shared" si="50"/>
        <v>0</v>
      </c>
      <c r="HD38" s="305">
        <f t="shared" si="51"/>
        <v>0</v>
      </c>
    </row>
    <row r="39" spans="1:212" ht="15" customHeight="1" x14ac:dyDescent="0.2">
      <c r="A39" s="286" t="s">
        <v>434</v>
      </c>
      <c r="B39" s="286" t="s">
        <v>127</v>
      </c>
      <c r="C39" s="286" t="s">
        <v>429</v>
      </c>
      <c r="D39" s="286" t="s">
        <v>429</v>
      </c>
      <c r="E39" s="287">
        <v>0</v>
      </c>
      <c r="F39" s="287">
        <v>107104433</v>
      </c>
      <c r="G39" s="287">
        <v>107104433</v>
      </c>
      <c r="H39" s="371">
        <f t="shared" si="8"/>
        <v>0</v>
      </c>
      <c r="I39" s="371">
        <f t="shared" si="9"/>
        <v>111602.81918600001</v>
      </c>
      <c r="J39" s="371">
        <f t="shared" si="10"/>
        <v>111602.81918600001</v>
      </c>
      <c r="S39" s="286" t="s">
        <v>614</v>
      </c>
      <c r="T39" s="288" t="s">
        <v>615</v>
      </c>
      <c r="U39" s="286" t="s">
        <v>429</v>
      </c>
      <c r="V39" s="288" t="s">
        <v>429</v>
      </c>
      <c r="W39" s="287">
        <v>41286000</v>
      </c>
      <c r="X39" s="287">
        <v>0</v>
      </c>
      <c r="Y39" s="287">
        <v>0</v>
      </c>
      <c r="Z39" s="361">
        <f t="shared" si="12"/>
        <v>43020.012000000002</v>
      </c>
      <c r="AA39" s="361">
        <f t="shared" si="13"/>
        <v>0</v>
      </c>
      <c r="AB39" s="361">
        <f t="shared" si="14"/>
        <v>0</v>
      </c>
      <c r="AK39" s="286" t="s">
        <v>614</v>
      </c>
      <c r="AL39" s="286" t="s">
        <v>615</v>
      </c>
      <c r="AM39" s="286" t="s">
        <v>429</v>
      </c>
      <c r="AN39" s="286" t="s">
        <v>429</v>
      </c>
      <c r="AO39" s="287">
        <v>41286000</v>
      </c>
      <c r="AP39" s="287">
        <v>0</v>
      </c>
      <c r="AQ39" s="287">
        <v>0</v>
      </c>
      <c r="AR39" s="287">
        <f t="shared" si="16"/>
        <v>41286</v>
      </c>
      <c r="AS39" s="287">
        <f t="shared" si="17"/>
        <v>0</v>
      </c>
      <c r="AT39" s="287">
        <f t="shared" si="18"/>
        <v>0</v>
      </c>
      <c r="BC39" s="286" t="s">
        <v>504</v>
      </c>
      <c r="BD39" s="286" t="s">
        <v>507</v>
      </c>
      <c r="BE39" s="286" t="s">
        <v>429</v>
      </c>
      <c r="BF39" s="286" t="s">
        <v>429</v>
      </c>
      <c r="BG39" s="287">
        <v>268009000</v>
      </c>
      <c r="BH39" s="287">
        <v>0</v>
      </c>
      <c r="BI39" s="287">
        <v>0</v>
      </c>
      <c r="BJ39" s="372">
        <f t="shared" si="20"/>
        <v>268009</v>
      </c>
      <c r="BK39" s="372">
        <f t="shared" si="21"/>
        <v>0</v>
      </c>
      <c r="BL39" s="372">
        <f t="shared" si="22"/>
        <v>0</v>
      </c>
      <c r="BV39" s="286" t="s">
        <v>445</v>
      </c>
      <c r="BW39" s="286" t="s">
        <v>446</v>
      </c>
      <c r="BX39" s="286" t="s">
        <v>429</v>
      </c>
      <c r="BY39" s="286" t="s">
        <v>429</v>
      </c>
      <c r="BZ39" s="287">
        <v>324224000</v>
      </c>
      <c r="CA39" s="287">
        <v>0</v>
      </c>
      <c r="CB39" s="287">
        <v>0</v>
      </c>
      <c r="CC39" s="287">
        <f t="shared" si="24"/>
        <v>324224</v>
      </c>
      <c r="CD39" s="287">
        <f t="shared" si="25"/>
        <v>0</v>
      </c>
      <c r="CE39" s="287">
        <f t="shared" si="26"/>
        <v>0</v>
      </c>
      <c r="CN39" s="286" t="s">
        <v>443</v>
      </c>
      <c r="CO39" s="286" t="s">
        <v>444</v>
      </c>
      <c r="CP39" s="286" t="s">
        <v>429</v>
      </c>
      <c r="CQ39" s="286" t="s">
        <v>429</v>
      </c>
      <c r="CR39" s="287">
        <v>0</v>
      </c>
      <c r="CS39" s="287">
        <v>357347926</v>
      </c>
      <c r="CT39" s="287">
        <v>240089144</v>
      </c>
      <c r="CU39" s="287">
        <f t="shared" si="28"/>
        <v>0</v>
      </c>
      <c r="CV39" s="287">
        <f t="shared" si="29"/>
        <v>357347.92599999998</v>
      </c>
      <c r="CW39" s="287">
        <f t="shared" si="30"/>
        <v>240089.144</v>
      </c>
      <c r="DF39" s="286" t="s">
        <v>443</v>
      </c>
      <c r="DG39" s="288" t="s">
        <v>444</v>
      </c>
      <c r="DH39" s="286" t="s">
        <v>429</v>
      </c>
      <c r="DI39" s="288" t="s">
        <v>429</v>
      </c>
      <c r="DJ39" s="287">
        <v>0</v>
      </c>
      <c r="DK39" s="287">
        <v>357347926</v>
      </c>
      <c r="DL39" s="287">
        <v>278878702</v>
      </c>
      <c r="DM39" s="371">
        <f t="shared" si="32"/>
        <v>0</v>
      </c>
      <c r="DN39" s="371">
        <f t="shared" si="33"/>
        <v>357347.92599999998</v>
      </c>
      <c r="DO39" s="371">
        <f t="shared" si="34"/>
        <v>278878.70199999999</v>
      </c>
      <c r="DX39" s="286" t="s">
        <v>443</v>
      </c>
      <c r="DY39" s="288" t="s">
        <v>444</v>
      </c>
      <c r="DZ39" s="286" t="s">
        <v>429</v>
      </c>
      <c r="EA39" s="288" t="s">
        <v>429</v>
      </c>
      <c r="EB39" s="287">
        <v>512392000</v>
      </c>
      <c r="EC39" s="287">
        <v>0</v>
      </c>
      <c r="ED39" s="287">
        <v>0</v>
      </c>
      <c r="EE39" s="287">
        <f t="shared" si="36"/>
        <v>512392</v>
      </c>
      <c r="EF39" s="287">
        <f t="shared" si="37"/>
        <v>0</v>
      </c>
      <c r="EG39" s="287">
        <f t="shared" si="38"/>
        <v>0</v>
      </c>
      <c r="EQ39" s="286" t="s">
        <v>443</v>
      </c>
      <c r="ER39" s="288" t="s">
        <v>444</v>
      </c>
      <c r="ES39" s="286" t="s">
        <v>429</v>
      </c>
      <c r="ET39" s="286" t="s">
        <v>429</v>
      </c>
      <c r="EU39" s="287">
        <v>512392000</v>
      </c>
      <c r="EV39" s="287">
        <v>0</v>
      </c>
      <c r="EW39" s="287">
        <v>0</v>
      </c>
      <c r="EX39" s="376">
        <f t="shared" si="40"/>
        <v>512392</v>
      </c>
      <c r="EY39" s="376">
        <f t="shared" si="41"/>
        <v>0</v>
      </c>
      <c r="EZ39" s="376">
        <f t="shared" si="42"/>
        <v>0</v>
      </c>
      <c r="FJ39" s="484"/>
      <c r="FK39" s="490" t="s">
        <v>443</v>
      </c>
      <c r="FL39" s="490" t="s">
        <v>444</v>
      </c>
      <c r="FM39" s="490" t="s">
        <v>429</v>
      </c>
      <c r="FN39" s="490" t="s">
        <v>429</v>
      </c>
      <c r="FO39" s="371">
        <v>512392000</v>
      </c>
      <c r="FP39" s="371">
        <v>0</v>
      </c>
      <c r="FQ39" s="371">
        <v>0</v>
      </c>
      <c r="FR39" s="371">
        <f t="shared" si="43"/>
        <v>512392</v>
      </c>
      <c r="FS39" s="371">
        <f t="shared" si="52"/>
        <v>0</v>
      </c>
      <c r="FT39" s="371">
        <f t="shared" si="53"/>
        <v>0</v>
      </c>
      <c r="FU39" s="484"/>
      <c r="FV39" s="484"/>
      <c r="FW39" s="484"/>
      <c r="GC39" s="275" t="s">
        <v>893</v>
      </c>
      <c r="GD39" s="275" t="s">
        <v>894</v>
      </c>
      <c r="GE39" s="275" t="s">
        <v>429</v>
      </c>
      <c r="GF39" s="275" t="s">
        <v>429</v>
      </c>
      <c r="GG39" s="372">
        <v>0</v>
      </c>
      <c r="GH39" s="372">
        <v>366427393</v>
      </c>
      <c r="GI39" s="372">
        <v>366427393</v>
      </c>
      <c r="GJ39" s="372">
        <f t="shared" si="45"/>
        <v>0</v>
      </c>
      <c r="GK39" s="372">
        <f t="shared" si="46"/>
        <v>366427.39299999998</v>
      </c>
      <c r="GL39" s="372">
        <f t="shared" si="47"/>
        <v>366427.39299999998</v>
      </c>
      <c r="GU39" s="275" t="s">
        <v>893</v>
      </c>
      <c r="GV39" s="275" t="s">
        <v>894</v>
      </c>
      <c r="GW39" s="275" t="s">
        <v>429</v>
      </c>
      <c r="GX39" s="275" t="s">
        <v>429</v>
      </c>
      <c r="GY39" s="491">
        <v>0</v>
      </c>
      <c r="GZ39" s="491">
        <v>366427393</v>
      </c>
      <c r="HA39" s="491">
        <v>366427393</v>
      </c>
      <c r="HB39" s="305">
        <f t="shared" si="49"/>
        <v>0</v>
      </c>
      <c r="HC39" s="305">
        <f t="shared" si="50"/>
        <v>366427.39299999998</v>
      </c>
      <c r="HD39" s="305">
        <f t="shared" si="51"/>
        <v>366427.39299999998</v>
      </c>
    </row>
    <row r="40" spans="1:212" ht="15" customHeight="1" x14ac:dyDescent="0.2">
      <c r="A40" s="286" t="s">
        <v>434</v>
      </c>
      <c r="B40" s="286" t="s">
        <v>127</v>
      </c>
      <c r="C40" s="286" t="s">
        <v>429</v>
      </c>
      <c r="D40" s="286" t="s">
        <v>429</v>
      </c>
      <c r="E40" s="287">
        <v>0</v>
      </c>
      <c r="F40" s="287">
        <v>0</v>
      </c>
      <c r="G40" s="287">
        <v>0</v>
      </c>
      <c r="H40" s="371">
        <f t="shared" si="8"/>
        <v>0</v>
      </c>
      <c r="I40" s="371">
        <f t="shared" si="9"/>
        <v>0</v>
      </c>
      <c r="J40" s="371">
        <f t="shared" si="10"/>
        <v>0</v>
      </c>
      <c r="S40" s="286" t="s">
        <v>614</v>
      </c>
      <c r="T40" s="288" t="s">
        <v>615</v>
      </c>
      <c r="U40" s="286" t="s">
        <v>429</v>
      </c>
      <c r="V40" s="288" t="s">
        <v>429</v>
      </c>
      <c r="W40" s="287">
        <v>0</v>
      </c>
      <c r="X40" s="287">
        <v>31185000</v>
      </c>
      <c r="Y40" s="287">
        <v>0</v>
      </c>
      <c r="Z40" s="361">
        <f t="shared" si="12"/>
        <v>0</v>
      </c>
      <c r="AA40" s="361">
        <f t="shared" si="13"/>
        <v>32494.77</v>
      </c>
      <c r="AB40" s="361">
        <f t="shared" si="14"/>
        <v>0</v>
      </c>
      <c r="AK40" s="286" t="s">
        <v>614</v>
      </c>
      <c r="AL40" s="286" t="s">
        <v>615</v>
      </c>
      <c r="AM40" s="286" t="s">
        <v>429</v>
      </c>
      <c r="AN40" s="286" t="s">
        <v>429</v>
      </c>
      <c r="AO40" s="287">
        <v>0</v>
      </c>
      <c r="AP40" s="287">
        <v>31185000</v>
      </c>
      <c r="AQ40" s="287">
        <v>0</v>
      </c>
      <c r="AR40" s="287">
        <f t="shared" si="16"/>
        <v>0</v>
      </c>
      <c r="AS40" s="287">
        <f t="shared" si="17"/>
        <v>31185</v>
      </c>
      <c r="AT40" s="287">
        <f t="shared" si="18"/>
        <v>0</v>
      </c>
      <c r="BC40" s="286" t="s">
        <v>614</v>
      </c>
      <c r="BD40" s="286" t="s">
        <v>615</v>
      </c>
      <c r="BE40" s="286" t="s">
        <v>429</v>
      </c>
      <c r="BF40" s="286" t="s">
        <v>429</v>
      </c>
      <c r="BG40" s="287">
        <v>41286000</v>
      </c>
      <c r="BH40" s="287">
        <v>0</v>
      </c>
      <c r="BI40" s="287">
        <v>0</v>
      </c>
      <c r="BJ40" s="372">
        <f t="shared" si="20"/>
        <v>41286</v>
      </c>
      <c r="BK40" s="372">
        <f t="shared" si="21"/>
        <v>0</v>
      </c>
      <c r="BL40" s="372">
        <f t="shared" si="22"/>
        <v>0</v>
      </c>
      <c r="BV40" s="286" t="s">
        <v>445</v>
      </c>
      <c r="BW40" s="286" t="s">
        <v>446</v>
      </c>
      <c r="BX40" s="286" t="s">
        <v>429</v>
      </c>
      <c r="BY40" s="286" t="s">
        <v>429</v>
      </c>
      <c r="BZ40" s="287">
        <v>0</v>
      </c>
      <c r="CA40" s="287">
        <v>164125526</v>
      </c>
      <c r="CB40" s="287">
        <v>47105907</v>
      </c>
      <c r="CC40" s="287">
        <f t="shared" si="24"/>
        <v>0</v>
      </c>
      <c r="CD40" s="287">
        <f t="shared" si="25"/>
        <v>164125.52600000001</v>
      </c>
      <c r="CE40" s="287">
        <f t="shared" si="26"/>
        <v>47105.906999999999</v>
      </c>
      <c r="CN40" s="286" t="s">
        <v>445</v>
      </c>
      <c r="CO40" s="286" t="s">
        <v>446</v>
      </c>
      <c r="CP40" s="286" t="s">
        <v>429</v>
      </c>
      <c r="CQ40" s="286" t="s">
        <v>429</v>
      </c>
      <c r="CR40" s="287">
        <v>324224000</v>
      </c>
      <c r="CS40" s="287">
        <v>0</v>
      </c>
      <c r="CT40" s="287">
        <v>0</v>
      </c>
      <c r="CU40" s="287">
        <f t="shared" si="28"/>
        <v>324224</v>
      </c>
      <c r="CV40" s="287">
        <f t="shared" si="29"/>
        <v>0</v>
      </c>
      <c r="CW40" s="287">
        <f t="shared" si="30"/>
        <v>0</v>
      </c>
      <c r="DF40" s="286" t="s">
        <v>445</v>
      </c>
      <c r="DG40" s="288" t="s">
        <v>446</v>
      </c>
      <c r="DH40" s="286" t="s">
        <v>429</v>
      </c>
      <c r="DI40" s="288" t="s">
        <v>429</v>
      </c>
      <c r="DJ40" s="287">
        <v>324224000</v>
      </c>
      <c r="DK40" s="287">
        <v>0</v>
      </c>
      <c r="DL40" s="287">
        <v>0</v>
      </c>
      <c r="DM40" s="371">
        <f t="shared" si="32"/>
        <v>324224</v>
      </c>
      <c r="DN40" s="371">
        <f t="shared" si="33"/>
        <v>0</v>
      </c>
      <c r="DO40" s="371">
        <f t="shared" si="34"/>
        <v>0</v>
      </c>
      <c r="DX40" s="286" t="s">
        <v>443</v>
      </c>
      <c r="DY40" s="288" t="s">
        <v>444</v>
      </c>
      <c r="DZ40" s="286" t="s">
        <v>429</v>
      </c>
      <c r="EA40" s="288" t="s">
        <v>429</v>
      </c>
      <c r="EB40" s="287">
        <v>0</v>
      </c>
      <c r="EC40" s="287">
        <v>357347926</v>
      </c>
      <c r="ED40" s="287">
        <v>298273481</v>
      </c>
      <c r="EE40" s="287">
        <f t="shared" si="36"/>
        <v>0</v>
      </c>
      <c r="EF40" s="287">
        <f t="shared" si="37"/>
        <v>357347.92599999998</v>
      </c>
      <c r="EG40" s="287">
        <f t="shared" si="38"/>
        <v>298273.48100000003</v>
      </c>
      <c r="EQ40" s="286" t="s">
        <v>443</v>
      </c>
      <c r="ER40" s="288" t="s">
        <v>444</v>
      </c>
      <c r="ES40" s="286" t="s">
        <v>429</v>
      </c>
      <c r="ET40" s="286" t="s">
        <v>429</v>
      </c>
      <c r="EU40" s="287">
        <v>0</v>
      </c>
      <c r="EV40" s="287">
        <v>298273481</v>
      </c>
      <c r="EW40" s="287">
        <v>357347926</v>
      </c>
      <c r="EX40" s="376">
        <f t="shared" si="40"/>
        <v>0</v>
      </c>
      <c r="EY40" s="376">
        <f t="shared" si="41"/>
        <v>298273.48100000003</v>
      </c>
      <c r="EZ40" s="376">
        <f t="shared" si="42"/>
        <v>357347.92599999998</v>
      </c>
      <c r="FJ40" s="484"/>
      <c r="FK40" s="490" t="s">
        <v>443</v>
      </c>
      <c r="FL40" s="490" t="s">
        <v>444</v>
      </c>
      <c r="FM40" s="490" t="s">
        <v>429</v>
      </c>
      <c r="FN40" s="490" t="s">
        <v>429</v>
      </c>
      <c r="FO40" s="371">
        <v>0</v>
      </c>
      <c r="FP40" s="371">
        <v>357347926</v>
      </c>
      <c r="FQ40" s="371">
        <v>317668260</v>
      </c>
      <c r="FR40" s="371">
        <f t="shared" si="43"/>
        <v>0</v>
      </c>
      <c r="FS40" s="371">
        <f t="shared" si="52"/>
        <v>357347.92599999998</v>
      </c>
      <c r="FT40" s="371">
        <f t="shared" si="53"/>
        <v>317668.26</v>
      </c>
      <c r="FU40" s="484"/>
      <c r="FV40" s="484"/>
      <c r="FW40" s="484"/>
      <c r="GC40" s="275" t="s">
        <v>860</v>
      </c>
      <c r="GD40" s="275" t="s">
        <v>51</v>
      </c>
      <c r="GE40" s="275" t="s">
        <v>429</v>
      </c>
      <c r="GF40" s="275" t="s">
        <v>429</v>
      </c>
      <c r="GG40" s="372">
        <v>0</v>
      </c>
      <c r="GH40" s="372">
        <v>0</v>
      </c>
      <c r="GI40" s="372">
        <v>0</v>
      </c>
      <c r="GJ40" s="372">
        <f t="shared" si="45"/>
        <v>0</v>
      </c>
      <c r="GK40" s="372">
        <f t="shared" si="46"/>
        <v>0</v>
      </c>
      <c r="GL40" s="372">
        <f t="shared" si="47"/>
        <v>0</v>
      </c>
      <c r="GU40" s="275" t="s">
        <v>999</v>
      </c>
      <c r="GV40" s="275" t="s">
        <v>863</v>
      </c>
      <c r="GW40" s="275" t="s">
        <v>429</v>
      </c>
      <c r="GX40" s="275" t="s">
        <v>429</v>
      </c>
      <c r="GY40" s="491">
        <v>2598750</v>
      </c>
      <c r="GZ40" s="491">
        <v>0</v>
      </c>
      <c r="HA40" s="491">
        <v>0</v>
      </c>
      <c r="HB40" s="305">
        <f t="shared" si="49"/>
        <v>2598.75</v>
      </c>
      <c r="HC40" s="305">
        <f t="shared" si="50"/>
        <v>0</v>
      </c>
      <c r="HD40" s="305">
        <f t="shared" si="51"/>
        <v>0</v>
      </c>
    </row>
    <row r="41" spans="1:212" x14ac:dyDescent="0.2">
      <c r="A41" s="286" t="s">
        <v>434</v>
      </c>
      <c r="B41" s="286" t="s">
        <v>127</v>
      </c>
      <c r="C41" s="286" t="s">
        <v>429</v>
      </c>
      <c r="D41" s="286" t="s">
        <v>429</v>
      </c>
      <c r="E41" s="287">
        <v>0</v>
      </c>
      <c r="F41" s="287">
        <v>5995880</v>
      </c>
      <c r="G41" s="287">
        <v>5995880</v>
      </c>
      <c r="H41" s="371">
        <f t="shared" si="8"/>
        <v>0</v>
      </c>
      <c r="I41" s="371">
        <f t="shared" si="9"/>
        <v>6247.7069600000004</v>
      </c>
      <c r="J41" s="371">
        <f t="shared" si="10"/>
        <v>6247.7069600000004</v>
      </c>
      <c r="S41" s="286" t="s">
        <v>616</v>
      </c>
      <c r="T41" s="288" t="s">
        <v>617</v>
      </c>
      <c r="U41" s="286" t="s">
        <v>429</v>
      </c>
      <c r="V41" s="288" t="s">
        <v>429</v>
      </c>
      <c r="W41" s="287">
        <v>58980000</v>
      </c>
      <c r="X41" s="287">
        <v>0</v>
      </c>
      <c r="Y41" s="287">
        <v>0</v>
      </c>
      <c r="Z41" s="361">
        <f t="shared" si="12"/>
        <v>61457.16</v>
      </c>
      <c r="AA41" s="361">
        <f t="shared" si="13"/>
        <v>0</v>
      </c>
      <c r="AB41" s="361">
        <f t="shared" si="14"/>
        <v>0</v>
      </c>
      <c r="AK41" s="286" t="s">
        <v>616</v>
      </c>
      <c r="AL41" s="286" t="s">
        <v>617</v>
      </c>
      <c r="AM41" s="286" t="s">
        <v>429</v>
      </c>
      <c r="AN41" s="286" t="s">
        <v>429</v>
      </c>
      <c r="AO41" s="287">
        <v>58980000</v>
      </c>
      <c r="AP41" s="287">
        <v>0</v>
      </c>
      <c r="AQ41" s="287">
        <v>0</v>
      </c>
      <c r="AR41" s="287">
        <f t="shared" si="16"/>
        <v>58980</v>
      </c>
      <c r="AS41" s="287">
        <f t="shared" si="17"/>
        <v>0</v>
      </c>
      <c r="AT41" s="287">
        <f t="shared" si="18"/>
        <v>0</v>
      </c>
      <c r="BC41" s="286" t="s">
        <v>614</v>
      </c>
      <c r="BD41" s="286" t="s">
        <v>615</v>
      </c>
      <c r="BE41" s="286" t="s">
        <v>429</v>
      </c>
      <c r="BF41" s="286" t="s">
        <v>429</v>
      </c>
      <c r="BG41" s="287">
        <v>0</v>
      </c>
      <c r="BH41" s="287">
        <v>31185000</v>
      </c>
      <c r="BI41" s="287">
        <v>2598750</v>
      </c>
      <c r="BJ41" s="372">
        <f t="shared" si="20"/>
        <v>0</v>
      </c>
      <c r="BK41" s="372">
        <f t="shared" si="21"/>
        <v>31185</v>
      </c>
      <c r="BL41" s="372">
        <f t="shared" si="22"/>
        <v>2598.75</v>
      </c>
      <c r="BV41" s="286" t="s">
        <v>504</v>
      </c>
      <c r="BW41" s="286" t="s">
        <v>507</v>
      </c>
      <c r="BX41" s="286" t="s">
        <v>429</v>
      </c>
      <c r="BY41" s="286" t="s">
        <v>429</v>
      </c>
      <c r="BZ41" s="287">
        <v>268009000</v>
      </c>
      <c r="CA41" s="287">
        <v>0</v>
      </c>
      <c r="CB41" s="287">
        <v>0</v>
      </c>
      <c r="CC41" s="287">
        <f t="shared" si="24"/>
        <v>268009</v>
      </c>
      <c r="CD41" s="287">
        <f t="shared" si="25"/>
        <v>0</v>
      </c>
      <c r="CE41" s="287">
        <f t="shared" si="26"/>
        <v>0</v>
      </c>
      <c r="CN41" s="286" t="s">
        <v>445</v>
      </c>
      <c r="CO41" s="286" t="s">
        <v>446</v>
      </c>
      <c r="CP41" s="286" t="s">
        <v>429</v>
      </c>
      <c r="CQ41" s="286" t="s">
        <v>429</v>
      </c>
      <c r="CR41" s="287">
        <v>0</v>
      </c>
      <c r="CS41" s="287">
        <v>164125526</v>
      </c>
      <c r="CT41" s="287">
        <v>62519707</v>
      </c>
      <c r="CU41" s="287">
        <f t="shared" si="28"/>
        <v>0</v>
      </c>
      <c r="CV41" s="287">
        <f t="shared" si="29"/>
        <v>164125.52600000001</v>
      </c>
      <c r="CW41" s="287">
        <f t="shared" si="30"/>
        <v>62519.707000000002</v>
      </c>
      <c r="DF41" s="286" t="s">
        <v>445</v>
      </c>
      <c r="DG41" s="288" t="s">
        <v>446</v>
      </c>
      <c r="DH41" s="286" t="s">
        <v>429</v>
      </c>
      <c r="DI41" s="288" t="s">
        <v>429</v>
      </c>
      <c r="DJ41" s="287">
        <v>0</v>
      </c>
      <c r="DK41" s="287">
        <v>164125526</v>
      </c>
      <c r="DL41" s="287">
        <v>92041419</v>
      </c>
      <c r="DM41" s="371">
        <f t="shared" si="32"/>
        <v>0</v>
      </c>
      <c r="DN41" s="371">
        <f t="shared" si="33"/>
        <v>164125.52600000001</v>
      </c>
      <c r="DO41" s="371">
        <f t="shared" si="34"/>
        <v>92041.418999999994</v>
      </c>
      <c r="DX41" s="286" t="s">
        <v>445</v>
      </c>
      <c r="DY41" s="288" t="s">
        <v>446</v>
      </c>
      <c r="DZ41" s="286" t="s">
        <v>429</v>
      </c>
      <c r="EA41" s="288" t="s">
        <v>429</v>
      </c>
      <c r="EB41" s="287">
        <v>324224000</v>
      </c>
      <c r="EC41" s="287">
        <v>0</v>
      </c>
      <c r="ED41" s="287">
        <v>0</v>
      </c>
      <c r="EE41" s="287">
        <f t="shared" si="36"/>
        <v>324224</v>
      </c>
      <c r="EF41" s="287">
        <f t="shared" si="37"/>
        <v>0</v>
      </c>
      <c r="EG41" s="287">
        <f t="shared" si="38"/>
        <v>0</v>
      </c>
      <c r="EQ41" s="286" t="s">
        <v>445</v>
      </c>
      <c r="ER41" s="288" t="s">
        <v>446</v>
      </c>
      <c r="ES41" s="286" t="s">
        <v>429</v>
      </c>
      <c r="ET41" s="286" t="s">
        <v>429</v>
      </c>
      <c r="EU41" s="287">
        <v>374224000</v>
      </c>
      <c r="EV41" s="287">
        <v>0</v>
      </c>
      <c r="EW41" s="287">
        <v>0</v>
      </c>
      <c r="EX41" s="376">
        <f t="shared" si="40"/>
        <v>374224</v>
      </c>
      <c r="EY41" s="376">
        <f t="shared" si="41"/>
        <v>0</v>
      </c>
      <c r="EZ41" s="376">
        <f t="shared" si="42"/>
        <v>0</v>
      </c>
      <c r="FJ41" s="484"/>
      <c r="FK41" s="490" t="s">
        <v>445</v>
      </c>
      <c r="FL41" s="490" t="s">
        <v>446</v>
      </c>
      <c r="FM41" s="490" t="s">
        <v>429</v>
      </c>
      <c r="FN41" s="490" t="s">
        <v>429</v>
      </c>
      <c r="FO41" s="371">
        <v>374224000</v>
      </c>
      <c r="FP41" s="371">
        <v>0</v>
      </c>
      <c r="FQ41" s="371">
        <v>0</v>
      </c>
      <c r="FR41" s="371">
        <f t="shared" si="43"/>
        <v>374224</v>
      </c>
      <c r="FS41" s="371">
        <f t="shared" si="52"/>
        <v>0</v>
      </c>
      <c r="FT41" s="371">
        <f t="shared" si="53"/>
        <v>0</v>
      </c>
      <c r="FU41" s="484"/>
      <c r="FV41" s="484"/>
      <c r="FW41" s="484"/>
      <c r="GC41" s="275" t="s">
        <v>443</v>
      </c>
      <c r="GD41" s="275" t="s">
        <v>444</v>
      </c>
      <c r="GE41" s="275" t="s">
        <v>429</v>
      </c>
      <c r="GF41" s="275" t="s">
        <v>429</v>
      </c>
      <c r="GG41" s="372">
        <v>512392000</v>
      </c>
      <c r="GH41" s="372">
        <v>0</v>
      </c>
      <c r="GI41" s="372">
        <v>0</v>
      </c>
      <c r="GJ41" s="372">
        <f t="shared" si="45"/>
        <v>512392</v>
      </c>
      <c r="GK41" s="372">
        <f t="shared" si="46"/>
        <v>0</v>
      </c>
      <c r="GL41" s="372">
        <f t="shared" si="47"/>
        <v>0</v>
      </c>
      <c r="GU41" s="275" t="s">
        <v>999</v>
      </c>
      <c r="GV41" s="275" t="s">
        <v>863</v>
      </c>
      <c r="GW41" s="275" t="s">
        <v>429</v>
      </c>
      <c r="GX41" s="275" t="s">
        <v>429</v>
      </c>
      <c r="GY41" s="491">
        <v>0</v>
      </c>
      <c r="GZ41" s="491">
        <v>2598750</v>
      </c>
      <c r="HA41" s="491">
        <v>2598750</v>
      </c>
      <c r="HB41" s="305">
        <f t="shared" si="49"/>
        <v>0</v>
      </c>
      <c r="HC41" s="305">
        <f t="shared" si="50"/>
        <v>2598.75</v>
      </c>
      <c r="HD41" s="305">
        <f t="shared" si="51"/>
        <v>2598.75</v>
      </c>
    </row>
    <row r="42" spans="1:212" x14ac:dyDescent="0.2">
      <c r="A42" s="286" t="s">
        <v>434</v>
      </c>
      <c r="B42" s="286" t="s">
        <v>127</v>
      </c>
      <c r="C42" s="286" t="s">
        <v>429</v>
      </c>
      <c r="D42" s="286" t="s">
        <v>429</v>
      </c>
      <c r="E42" s="287">
        <v>0</v>
      </c>
      <c r="F42" s="287">
        <v>0</v>
      </c>
      <c r="G42" s="287">
        <v>0</v>
      </c>
      <c r="H42" s="371">
        <f t="shared" si="8"/>
        <v>0</v>
      </c>
      <c r="I42" s="371">
        <f t="shared" si="9"/>
        <v>0</v>
      </c>
      <c r="J42" s="371">
        <f t="shared" si="10"/>
        <v>0</v>
      </c>
      <c r="S42" s="286" t="s">
        <v>434</v>
      </c>
      <c r="T42" s="288" t="s">
        <v>127</v>
      </c>
      <c r="U42" s="286" t="s">
        <v>429</v>
      </c>
      <c r="V42" s="288" t="s">
        <v>429</v>
      </c>
      <c r="W42" s="287">
        <v>10100</v>
      </c>
      <c r="X42" s="287">
        <v>0</v>
      </c>
      <c r="Y42" s="287">
        <v>0</v>
      </c>
      <c r="Z42" s="361">
        <f t="shared" si="12"/>
        <v>10.5242</v>
      </c>
      <c r="AA42" s="361">
        <f t="shared" si="13"/>
        <v>0</v>
      </c>
      <c r="AB42" s="361">
        <f t="shared" si="14"/>
        <v>0</v>
      </c>
      <c r="AK42" s="286" t="s">
        <v>434</v>
      </c>
      <c r="AL42" s="286" t="s">
        <v>127</v>
      </c>
      <c r="AM42" s="286" t="s">
        <v>429</v>
      </c>
      <c r="AN42" s="286" t="s">
        <v>429</v>
      </c>
      <c r="AO42" s="287">
        <v>10100</v>
      </c>
      <c r="AP42" s="287">
        <v>0</v>
      </c>
      <c r="AQ42" s="287">
        <v>0</v>
      </c>
      <c r="AR42" s="287">
        <f t="shared" si="16"/>
        <v>10.1</v>
      </c>
      <c r="AS42" s="287">
        <f t="shared" si="17"/>
        <v>0</v>
      </c>
      <c r="AT42" s="287">
        <f t="shared" si="18"/>
        <v>0</v>
      </c>
      <c r="BC42" s="286" t="s">
        <v>616</v>
      </c>
      <c r="BD42" s="286" t="s">
        <v>617</v>
      </c>
      <c r="BE42" s="286" t="s">
        <v>429</v>
      </c>
      <c r="BF42" s="286" t="s">
        <v>429</v>
      </c>
      <c r="BG42" s="287">
        <v>120000000</v>
      </c>
      <c r="BH42" s="287">
        <v>0</v>
      </c>
      <c r="BI42" s="287">
        <v>0</v>
      </c>
      <c r="BJ42" s="372">
        <f t="shared" si="20"/>
        <v>120000</v>
      </c>
      <c r="BK42" s="372">
        <f t="shared" si="21"/>
        <v>0</v>
      </c>
      <c r="BL42" s="372">
        <f t="shared" si="22"/>
        <v>0</v>
      </c>
      <c r="BV42" s="286" t="s">
        <v>504</v>
      </c>
      <c r="BW42" s="286" t="s">
        <v>507</v>
      </c>
      <c r="BX42" s="286" t="s">
        <v>429</v>
      </c>
      <c r="BY42" s="286" t="s">
        <v>429</v>
      </c>
      <c r="BZ42" s="287">
        <v>0</v>
      </c>
      <c r="CA42" s="287">
        <v>149940000</v>
      </c>
      <c r="CB42" s="287">
        <v>0</v>
      </c>
      <c r="CC42" s="287">
        <f t="shared" si="24"/>
        <v>0</v>
      </c>
      <c r="CD42" s="287">
        <f t="shared" si="25"/>
        <v>149940</v>
      </c>
      <c r="CE42" s="287">
        <f t="shared" si="26"/>
        <v>0</v>
      </c>
      <c r="CN42" s="286" t="s">
        <v>504</v>
      </c>
      <c r="CO42" s="286" t="s">
        <v>507</v>
      </c>
      <c r="CP42" s="286" t="s">
        <v>429</v>
      </c>
      <c r="CQ42" s="286" t="s">
        <v>429</v>
      </c>
      <c r="CR42" s="287">
        <v>268009000</v>
      </c>
      <c r="CS42" s="287">
        <v>0</v>
      </c>
      <c r="CT42" s="287">
        <v>0</v>
      </c>
      <c r="CU42" s="287">
        <f t="shared" si="28"/>
        <v>268009</v>
      </c>
      <c r="CV42" s="287">
        <f t="shared" si="29"/>
        <v>0</v>
      </c>
      <c r="CW42" s="287">
        <f t="shared" si="30"/>
        <v>0</v>
      </c>
      <c r="DF42" s="286" t="s">
        <v>504</v>
      </c>
      <c r="DG42" s="288" t="s">
        <v>507</v>
      </c>
      <c r="DH42" s="286" t="s">
        <v>429</v>
      </c>
      <c r="DI42" s="288" t="s">
        <v>429</v>
      </c>
      <c r="DJ42" s="287">
        <v>268009000</v>
      </c>
      <c r="DK42" s="287">
        <v>0</v>
      </c>
      <c r="DL42" s="287">
        <v>0</v>
      </c>
      <c r="DM42" s="371">
        <f t="shared" si="32"/>
        <v>268009</v>
      </c>
      <c r="DN42" s="371">
        <f t="shared" si="33"/>
        <v>0</v>
      </c>
      <c r="DO42" s="371">
        <f t="shared" si="34"/>
        <v>0</v>
      </c>
      <c r="DX42" s="286" t="s">
        <v>445</v>
      </c>
      <c r="DY42" s="288" t="s">
        <v>446</v>
      </c>
      <c r="DZ42" s="286" t="s">
        <v>429</v>
      </c>
      <c r="EA42" s="288" t="s">
        <v>429</v>
      </c>
      <c r="EB42" s="287">
        <v>0</v>
      </c>
      <c r="EC42" s="287">
        <v>223554131</v>
      </c>
      <c r="ED42" s="287">
        <v>105236932</v>
      </c>
      <c r="EE42" s="287">
        <f t="shared" si="36"/>
        <v>0</v>
      </c>
      <c r="EF42" s="287">
        <f t="shared" si="37"/>
        <v>223554.13099999999</v>
      </c>
      <c r="EG42" s="287">
        <f t="shared" si="38"/>
        <v>105236.932</v>
      </c>
      <c r="EQ42" s="286" t="s">
        <v>445</v>
      </c>
      <c r="ER42" s="288" t="s">
        <v>446</v>
      </c>
      <c r="ES42" s="286" t="s">
        <v>429</v>
      </c>
      <c r="ET42" s="286" t="s">
        <v>429</v>
      </c>
      <c r="EU42" s="287">
        <v>0</v>
      </c>
      <c r="EV42" s="287">
        <v>120838445</v>
      </c>
      <c r="EW42" s="287">
        <v>197874674</v>
      </c>
      <c r="EX42" s="376">
        <f t="shared" si="40"/>
        <v>0</v>
      </c>
      <c r="EY42" s="376">
        <f t="shared" si="41"/>
        <v>120838.44500000001</v>
      </c>
      <c r="EZ42" s="376">
        <f t="shared" si="42"/>
        <v>197874.674</v>
      </c>
      <c r="FJ42" s="484"/>
      <c r="FK42" s="490" t="s">
        <v>445</v>
      </c>
      <c r="FL42" s="490" t="s">
        <v>446</v>
      </c>
      <c r="FM42" s="490" t="s">
        <v>429</v>
      </c>
      <c r="FN42" s="490" t="s">
        <v>429</v>
      </c>
      <c r="FO42" s="371">
        <v>0</v>
      </c>
      <c r="FP42" s="371">
        <v>197874674</v>
      </c>
      <c r="FQ42" s="371">
        <v>150219622</v>
      </c>
      <c r="FR42" s="371">
        <f t="shared" si="43"/>
        <v>0</v>
      </c>
      <c r="FS42" s="371">
        <f t="shared" si="52"/>
        <v>197874.674</v>
      </c>
      <c r="FT42" s="371">
        <f t="shared" si="53"/>
        <v>150219.622</v>
      </c>
      <c r="FU42" s="484"/>
      <c r="FV42" s="484"/>
      <c r="FW42" s="484"/>
      <c r="GC42" s="275" t="s">
        <v>443</v>
      </c>
      <c r="GD42" s="275" t="s">
        <v>444</v>
      </c>
      <c r="GE42" s="275" t="s">
        <v>429</v>
      </c>
      <c r="GF42" s="275" t="s">
        <v>429</v>
      </c>
      <c r="GG42" s="372">
        <v>0</v>
      </c>
      <c r="GH42" s="372">
        <v>357409822</v>
      </c>
      <c r="GI42" s="372">
        <v>337063039</v>
      </c>
      <c r="GJ42" s="372">
        <f t="shared" si="45"/>
        <v>0</v>
      </c>
      <c r="GK42" s="372">
        <f t="shared" si="46"/>
        <v>357409.82199999999</v>
      </c>
      <c r="GL42" s="372">
        <f t="shared" si="47"/>
        <v>337063.03899999999</v>
      </c>
      <c r="GU42" s="275" t="s">
        <v>860</v>
      </c>
      <c r="GV42" s="275" t="s">
        <v>51</v>
      </c>
      <c r="GW42" s="275" t="s">
        <v>429</v>
      </c>
      <c r="GX42" s="275" t="s">
        <v>429</v>
      </c>
      <c r="GY42" s="491">
        <v>0</v>
      </c>
      <c r="GZ42" s="491">
        <v>0</v>
      </c>
      <c r="HA42" s="491">
        <v>0</v>
      </c>
      <c r="HB42" s="305">
        <f t="shared" si="49"/>
        <v>0</v>
      </c>
      <c r="HC42" s="305">
        <f t="shared" si="50"/>
        <v>0</v>
      </c>
      <c r="HD42" s="305">
        <f t="shared" si="51"/>
        <v>0</v>
      </c>
    </row>
    <row r="43" spans="1:212" x14ac:dyDescent="0.2">
      <c r="A43" s="286" t="s">
        <v>434</v>
      </c>
      <c r="B43" s="286" t="s">
        <v>127</v>
      </c>
      <c r="C43" s="286" t="s">
        <v>429</v>
      </c>
      <c r="D43" s="286" t="s">
        <v>429</v>
      </c>
      <c r="E43" s="287">
        <v>0</v>
      </c>
      <c r="F43" s="287">
        <v>159772630</v>
      </c>
      <c r="G43" s="287">
        <v>159772630</v>
      </c>
      <c r="H43" s="371">
        <f t="shared" si="8"/>
        <v>0</v>
      </c>
      <c r="I43" s="371">
        <f t="shared" si="9"/>
        <v>166483.08046</v>
      </c>
      <c r="J43" s="371">
        <f t="shared" si="10"/>
        <v>166483.08046</v>
      </c>
      <c r="S43" s="286" t="s">
        <v>434</v>
      </c>
      <c r="T43" s="288" t="s">
        <v>127</v>
      </c>
      <c r="U43" s="286" t="s">
        <v>429</v>
      </c>
      <c r="V43" s="288" t="s">
        <v>429</v>
      </c>
      <c r="W43" s="287">
        <v>0</v>
      </c>
      <c r="X43" s="287">
        <v>107104433</v>
      </c>
      <c r="Y43" s="287">
        <v>107104433</v>
      </c>
      <c r="Z43" s="361">
        <f t="shared" si="12"/>
        <v>0</v>
      </c>
      <c r="AA43" s="361">
        <f t="shared" si="13"/>
        <v>111602.81918600001</v>
      </c>
      <c r="AB43" s="361">
        <f t="shared" si="14"/>
        <v>111602.81918600001</v>
      </c>
      <c r="AK43" s="286" t="s">
        <v>434</v>
      </c>
      <c r="AL43" s="286" t="s">
        <v>127</v>
      </c>
      <c r="AM43" s="286" t="s">
        <v>429</v>
      </c>
      <c r="AN43" s="286" t="s">
        <v>429</v>
      </c>
      <c r="AO43" s="287">
        <v>0</v>
      </c>
      <c r="AP43" s="287">
        <v>107104433</v>
      </c>
      <c r="AQ43" s="287">
        <v>107104433</v>
      </c>
      <c r="AR43" s="287">
        <f t="shared" si="16"/>
        <v>0</v>
      </c>
      <c r="AS43" s="287">
        <f t="shared" si="17"/>
        <v>107104.433</v>
      </c>
      <c r="AT43" s="287">
        <f t="shared" si="18"/>
        <v>107104.433</v>
      </c>
      <c r="BC43" s="286" t="s">
        <v>434</v>
      </c>
      <c r="BD43" s="286" t="s">
        <v>127</v>
      </c>
      <c r="BE43" s="286" t="s">
        <v>429</v>
      </c>
      <c r="BF43" s="286" t="s">
        <v>429</v>
      </c>
      <c r="BG43" s="287">
        <f>10100+BG45+BG47+BG48-10000</f>
        <v>272873043</v>
      </c>
      <c r="BH43" s="287">
        <v>0</v>
      </c>
      <c r="BI43" s="287">
        <v>0</v>
      </c>
      <c r="BJ43" s="372">
        <f t="shared" si="20"/>
        <v>272873.04300000001</v>
      </c>
      <c r="BK43" s="372">
        <f t="shared" si="21"/>
        <v>0</v>
      </c>
      <c r="BL43" s="372">
        <f t="shared" si="22"/>
        <v>0</v>
      </c>
      <c r="BV43" s="286" t="s">
        <v>614</v>
      </c>
      <c r="BW43" s="286" t="s">
        <v>615</v>
      </c>
      <c r="BX43" s="286" t="s">
        <v>429</v>
      </c>
      <c r="BY43" s="286" t="s">
        <v>429</v>
      </c>
      <c r="BZ43" s="287">
        <v>41286000</v>
      </c>
      <c r="CA43" s="287">
        <v>0</v>
      </c>
      <c r="CB43" s="287">
        <v>0</v>
      </c>
      <c r="CC43" s="287">
        <f t="shared" si="24"/>
        <v>41286</v>
      </c>
      <c r="CD43" s="287">
        <f t="shared" si="25"/>
        <v>0</v>
      </c>
      <c r="CE43" s="287">
        <f t="shared" si="26"/>
        <v>0</v>
      </c>
      <c r="CN43" s="286" t="s">
        <v>504</v>
      </c>
      <c r="CO43" s="286" t="s">
        <v>507</v>
      </c>
      <c r="CP43" s="286" t="s">
        <v>429</v>
      </c>
      <c r="CQ43" s="286" t="s">
        <v>429</v>
      </c>
      <c r="CR43" s="287">
        <v>0</v>
      </c>
      <c r="CS43" s="287">
        <v>149940000</v>
      </c>
      <c r="CT43" s="287">
        <v>20991600</v>
      </c>
      <c r="CU43" s="287">
        <f t="shared" si="28"/>
        <v>0</v>
      </c>
      <c r="CV43" s="287">
        <f t="shared" si="29"/>
        <v>149940</v>
      </c>
      <c r="CW43" s="287">
        <f t="shared" si="30"/>
        <v>20991.599999999999</v>
      </c>
      <c r="DF43" s="286" t="s">
        <v>504</v>
      </c>
      <c r="DG43" s="288" t="s">
        <v>507</v>
      </c>
      <c r="DH43" s="286" t="s">
        <v>429</v>
      </c>
      <c r="DI43" s="288" t="s">
        <v>429</v>
      </c>
      <c r="DJ43" s="287">
        <v>0</v>
      </c>
      <c r="DK43" s="287">
        <v>149940000</v>
      </c>
      <c r="DL43" s="287">
        <v>20991600</v>
      </c>
      <c r="DM43" s="371">
        <f t="shared" si="32"/>
        <v>0</v>
      </c>
      <c r="DN43" s="371">
        <f t="shared" si="33"/>
        <v>149940</v>
      </c>
      <c r="DO43" s="371">
        <f t="shared" si="34"/>
        <v>20991.599999999999</v>
      </c>
      <c r="DX43" s="286" t="s">
        <v>504</v>
      </c>
      <c r="DY43" s="288" t="s">
        <v>507</v>
      </c>
      <c r="DZ43" s="286" t="s">
        <v>429</v>
      </c>
      <c r="EA43" s="288" t="s">
        <v>429</v>
      </c>
      <c r="EB43" s="287">
        <v>268009000</v>
      </c>
      <c r="EC43" s="287">
        <v>0</v>
      </c>
      <c r="ED43" s="287">
        <v>0</v>
      </c>
      <c r="EE43" s="287">
        <f t="shared" si="36"/>
        <v>268009</v>
      </c>
      <c r="EF43" s="287">
        <f t="shared" si="37"/>
        <v>0</v>
      </c>
      <c r="EG43" s="287">
        <f t="shared" si="38"/>
        <v>0</v>
      </c>
      <c r="EQ43" s="286" t="s">
        <v>504</v>
      </c>
      <c r="ER43" s="288" t="s">
        <v>507</v>
      </c>
      <c r="ES43" s="286" t="s">
        <v>429</v>
      </c>
      <c r="ET43" s="286" t="s">
        <v>429</v>
      </c>
      <c r="EU43" s="287">
        <v>218009000</v>
      </c>
      <c r="EV43" s="287">
        <v>0</v>
      </c>
      <c r="EW43" s="287">
        <v>0</v>
      </c>
      <c r="EX43" s="376">
        <f t="shared" si="40"/>
        <v>218009</v>
      </c>
      <c r="EY43" s="376">
        <f t="shared" si="41"/>
        <v>0</v>
      </c>
      <c r="EZ43" s="376">
        <f t="shared" si="42"/>
        <v>0</v>
      </c>
      <c r="FJ43" s="484"/>
      <c r="FK43" s="490" t="s">
        <v>504</v>
      </c>
      <c r="FL43" s="490" t="s">
        <v>507</v>
      </c>
      <c r="FM43" s="490" t="s">
        <v>429</v>
      </c>
      <c r="FN43" s="490" t="s">
        <v>429</v>
      </c>
      <c r="FO43" s="371">
        <v>218009000</v>
      </c>
      <c r="FP43" s="371">
        <v>0</v>
      </c>
      <c r="FQ43" s="371">
        <v>0</v>
      </c>
      <c r="FR43" s="371">
        <f t="shared" si="43"/>
        <v>218009</v>
      </c>
      <c r="FS43" s="371">
        <f t="shared" si="52"/>
        <v>0</v>
      </c>
      <c r="FT43" s="371">
        <f t="shared" si="53"/>
        <v>0</v>
      </c>
      <c r="FU43" s="484"/>
      <c r="FV43" s="484"/>
      <c r="FW43" s="484"/>
      <c r="GC43" s="275" t="s">
        <v>445</v>
      </c>
      <c r="GD43" s="275" t="s">
        <v>446</v>
      </c>
      <c r="GE43" s="275" t="s">
        <v>429</v>
      </c>
      <c r="GF43" s="275" t="s">
        <v>429</v>
      </c>
      <c r="GG43" s="372">
        <v>374224000</v>
      </c>
      <c r="GH43" s="372">
        <v>0</v>
      </c>
      <c r="GI43" s="372">
        <v>0</v>
      </c>
      <c r="GJ43" s="372">
        <f t="shared" si="45"/>
        <v>374224</v>
      </c>
      <c r="GK43" s="372">
        <f t="shared" si="46"/>
        <v>0</v>
      </c>
      <c r="GL43" s="372">
        <f t="shared" si="47"/>
        <v>0</v>
      </c>
      <c r="GU43" s="275" t="s">
        <v>443</v>
      </c>
      <c r="GV43" s="275" t="s">
        <v>444</v>
      </c>
      <c r="GW43" s="275" t="s">
        <v>429</v>
      </c>
      <c r="GX43" s="275" t="s">
        <v>429</v>
      </c>
      <c r="GY43" s="491">
        <v>624155424</v>
      </c>
      <c r="GZ43" s="491">
        <v>0</v>
      </c>
      <c r="HA43" s="491">
        <v>0</v>
      </c>
      <c r="HB43" s="305">
        <f t="shared" si="49"/>
        <v>624155.424</v>
      </c>
      <c r="HC43" s="305">
        <f t="shared" si="50"/>
        <v>0</v>
      </c>
      <c r="HD43" s="305">
        <f t="shared" si="51"/>
        <v>0</v>
      </c>
    </row>
    <row r="44" spans="1:212" x14ac:dyDescent="0.2">
      <c r="J44" s="372">
        <f>SUBTOTAL(9,J3:J43)</f>
        <v>789654.60551399994</v>
      </c>
      <c r="S44" s="286" t="s">
        <v>434</v>
      </c>
      <c r="T44" s="288" t="s">
        <v>127</v>
      </c>
      <c r="U44" s="286" t="s">
        <v>429</v>
      </c>
      <c r="V44" s="288" t="s">
        <v>429</v>
      </c>
      <c r="W44" s="287">
        <v>0</v>
      </c>
      <c r="X44" s="287">
        <v>0</v>
      </c>
      <c r="Y44" s="287">
        <v>0</v>
      </c>
      <c r="Z44" s="361">
        <f t="shared" si="12"/>
        <v>0</v>
      </c>
      <c r="AA44" s="361">
        <f t="shared" si="13"/>
        <v>0</v>
      </c>
      <c r="AB44" s="361">
        <f t="shared" si="14"/>
        <v>0</v>
      </c>
      <c r="AK44" s="286" t="s">
        <v>434</v>
      </c>
      <c r="AL44" s="286" t="s">
        <v>127</v>
      </c>
      <c r="AM44" s="286" t="s">
        <v>429</v>
      </c>
      <c r="AN44" s="286" t="s">
        <v>429</v>
      </c>
      <c r="AO44" s="287">
        <v>0</v>
      </c>
      <c r="AP44" s="287">
        <v>0</v>
      </c>
      <c r="AQ44" s="287">
        <v>0</v>
      </c>
      <c r="AR44" s="287">
        <f t="shared" si="16"/>
        <v>0</v>
      </c>
      <c r="AS44" s="287">
        <f t="shared" si="17"/>
        <v>0</v>
      </c>
      <c r="AT44" s="287">
        <f t="shared" si="18"/>
        <v>0</v>
      </c>
      <c r="BC44" s="286" t="s">
        <v>434</v>
      </c>
      <c r="BD44" s="286" t="s">
        <v>127</v>
      </c>
      <c r="BE44" s="286" t="s">
        <v>429</v>
      </c>
      <c r="BF44" s="286" t="s">
        <v>429</v>
      </c>
      <c r="BG44" s="287">
        <v>0</v>
      </c>
      <c r="BH44" s="287">
        <v>0</v>
      </c>
      <c r="BI44" s="287">
        <v>0</v>
      </c>
      <c r="BJ44" s="372">
        <f t="shared" si="20"/>
        <v>0</v>
      </c>
      <c r="BK44" s="372">
        <f t="shared" si="21"/>
        <v>0</v>
      </c>
      <c r="BL44" s="372">
        <f t="shared" si="22"/>
        <v>0</v>
      </c>
      <c r="BV44" s="286" t="s">
        <v>614</v>
      </c>
      <c r="BW44" s="286" t="s">
        <v>615</v>
      </c>
      <c r="BX44" s="286" t="s">
        <v>429</v>
      </c>
      <c r="BY44" s="286" t="s">
        <v>429</v>
      </c>
      <c r="BZ44" s="287">
        <v>0</v>
      </c>
      <c r="CA44" s="287">
        <v>31185000</v>
      </c>
      <c r="CB44" s="287">
        <v>2598749</v>
      </c>
      <c r="CC44" s="287">
        <f t="shared" si="24"/>
        <v>0</v>
      </c>
      <c r="CD44" s="287">
        <f t="shared" si="25"/>
        <v>31185</v>
      </c>
      <c r="CE44" s="287">
        <f t="shared" si="26"/>
        <v>2598.7489999999998</v>
      </c>
      <c r="CN44" s="286" t="s">
        <v>614</v>
      </c>
      <c r="CO44" s="286" t="s">
        <v>615</v>
      </c>
      <c r="CP44" s="286" t="s">
        <v>429</v>
      </c>
      <c r="CQ44" s="286" t="s">
        <v>429</v>
      </c>
      <c r="CR44" s="287">
        <v>41286000</v>
      </c>
      <c r="CS44" s="287">
        <v>0</v>
      </c>
      <c r="CT44" s="287">
        <v>0</v>
      </c>
      <c r="CU44" s="287">
        <f t="shared" si="28"/>
        <v>41286</v>
      </c>
      <c r="CV44" s="287">
        <f t="shared" si="29"/>
        <v>0</v>
      </c>
      <c r="CW44" s="287">
        <f t="shared" si="30"/>
        <v>0</v>
      </c>
      <c r="DF44" s="286" t="s">
        <v>614</v>
      </c>
      <c r="DG44" s="288" t="s">
        <v>615</v>
      </c>
      <c r="DH44" s="286" t="s">
        <v>429</v>
      </c>
      <c r="DI44" s="288" t="s">
        <v>429</v>
      </c>
      <c r="DJ44" s="287">
        <v>41286000</v>
      </c>
      <c r="DK44" s="287">
        <v>0</v>
      </c>
      <c r="DL44" s="287">
        <v>0</v>
      </c>
      <c r="DM44" s="371">
        <f t="shared" si="32"/>
        <v>41286</v>
      </c>
      <c r="DN44" s="371">
        <f t="shared" si="33"/>
        <v>0</v>
      </c>
      <c r="DO44" s="371">
        <f t="shared" si="34"/>
        <v>0</v>
      </c>
      <c r="DX44" s="286" t="s">
        <v>504</v>
      </c>
      <c r="DY44" s="288" t="s">
        <v>507</v>
      </c>
      <c r="DZ44" s="286" t="s">
        <v>429</v>
      </c>
      <c r="EA44" s="288" t="s">
        <v>429</v>
      </c>
      <c r="EB44" s="287">
        <v>0</v>
      </c>
      <c r="EC44" s="287">
        <v>149940000</v>
      </c>
      <c r="ED44" s="287">
        <v>62974800</v>
      </c>
      <c r="EE44" s="287">
        <f t="shared" si="36"/>
        <v>0</v>
      </c>
      <c r="EF44" s="287">
        <f t="shared" si="37"/>
        <v>149940</v>
      </c>
      <c r="EG44" s="287">
        <f t="shared" si="38"/>
        <v>62974.8</v>
      </c>
      <c r="EQ44" s="286" t="s">
        <v>504</v>
      </c>
      <c r="ER44" s="288" t="s">
        <v>507</v>
      </c>
      <c r="ES44" s="286" t="s">
        <v>429</v>
      </c>
      <c r="ET44" s="286" t="s">
        <v>429</v>
      </c>
      <c r="EU44" s="287">
        <v>0</v>
      </c>
      <c r="EV44" s="287">
        <v>83966400</v>
      </c>
      <c r="EW44" s="287">
        <v>149940000</v>
      </c>
      <c r="EX44" s="376">
        <f t="shared" si="40"/>
        <v>0</v>
      </c>
      <c r="EY44" s="376">
        <f t="shared" si="41"/>
        <v>83966.399999999994</v>
      </c>
      <c r="EZ44" s="376">
        <f t="shared" si="42"/>
        <v>149940</v>
      </c>
      <c r="FJ44" s="484"/>
      <c r="FK44" s="490" t="s">
        <v>504</v>
      </c>
      <c r="FL44" s="490" t="s">
        <v>507</v>
      </c>
      <c r="FM44" s="490" t="s">
        <v>429</v>
      </c>
      <c r="FN44" s="490" t="s">
        <v>429</v>
      </c>
      <c r="FO44" s="371">
        <v>0</v>
      </c>
      <c r="FP44" s="371">
        <v>149940000</v>
      </c>
      <c r="FQ44" s="371">
        <v>104958000</v>
      </c>
      <c r="FR44" s="371">
        <f t="shared" si="43"/>
        <v>0</v>
      </c>
      <c r="FS44" s="371">
        <f t="shared" si="52"/>
        <v>149940</v>
      </c>
      <c r="FT44" s="371">
        <f t="shared" si="53"/>
        <v>104958</v>
      </c>
      <c r="FU44" s="484"/>
      <c r="FV44" s="484"/>
      <c r="FW44" s="484"/>
      <c r="GC44" s="275" t="s">
        <v>445</v>
      </c>
      <c r="GD44" s="275" t="s">
        <v>446</v>
      </c>
      <c r="GE44" s="275" t="s">
        <v>429</v>
      </c>
      <c r="GF44" s="275" t="s">
        <v>429</v>
      </c>
      <c r="GG44" s="372">
        <v>0</v>
      </c>
      <c r="GH44" s="372">
        <v>197874674</v>
      </c>
      <c r="GI44" s="372">
        <v>157645931</v>
      </c>
      <c r="GJ44" s="372">
        <f t="shared" si="45"/>
        <v>0</v>
      </c>
      <c r="GK44" s="372">
        <f t="shared" si="46"/>
        <v>197874.674</v>
      </c>
      <c r="GL44" s="372">
        <f t="shared" si="47"/>
        <v>157645.93100000001</v>
      </c>
      <c r="GU44" s="275" t="s">
        <v>443</v>
      </c>
      <c r="GV44" s="275" t="s">
        <v>444</v>
      </c>
      <c r="GW44" s="275" t="s">
        <v>429</v>
      </c>
      <c r="GX44" s="275" t="s">
        <v>429</v>
      </c>
      <c r="GY44" s="491">
        <v>0</v>
      </c>
      <c r="GZ44" s="491">
        <v>597014227</v>
      </c>
      <c r="HA44" s="491">
        <v>616409012</v>
      </c>
      <c r="HB44" s="305">
        <f t="shared" si="49"/>
        <v>0</v>
      </c>
      <c r="HC44" s="305">
        <f t="shared" si="50"/>
        <v>597014.22699999996</v>
      </c>
      <c r="HD44" s="305">
        <f t="shared" si="51"/>
        <v>616409.01199999999</v>
      </c>
    </row>
    <row r="45" spans="1:212" x14ac:dyDescent="0.2">
      <c r="J45" s="279"/>
      <c r="S45" s="286" t="s">
        <v>434</v>
      </c>
      <c r="T45" s="288" t="s">
        <v>127</v>
      </c>
      <c r="U45" s="286" t="s">
        <v>429</v>
      </c>
      <c r="V45" s="288" t="s">
        <v>429</v>
      </c>
      <c r="W45" s="287">
        <v>0</v>
      </c>
      <c r="X45" s="287">
        <v>5995880</v>
      </c>
      <c r="Y45" s="287">
        <v>5995880</v>
      </c>
      <c r="Z45" s="361">
        <f t="shared" si="12"/>
        <v>0</v>
      </c>
      <c r="AA45" s="361">
        <f t="shared" si="13"/>
        <v>6247.7069600000004</v>
      </c>
      <c r="AB45" s="361">
        <f t="shared" si="14"/>
        <v>6247.7069600000004</v>
      </c>
      <c r="AK45" s="286" t="s">
        <v>434</v>
      </c>
      <c r="AL45" s="286" t="s">
        <v>127</v>
      </c>
      <c r="AM45" s="286" t="s">
        <v>429</v>
      </c>
      <c r="AN45" s="286" t="s">
        <v>429</v>
      </c>
      <c r="AO45" s="287">
        <v>0</v>
      </c>
      <c r="AP45" s="287">
        <v>5995880</v>
      </c>
      <c r="AQ45" s="287">
        <v>5995880</v>
      </c>
      <c r="AR45" s="287">
        <f t="shared" si="16"/>
        <v>0</v>
      </c>
      <c r="AS45" s="287">
        <f t="shared" si="17"/>
        <v>5995.88</v>
      </c>
      <c r="AT45" s="287">
        <f t="shared" si="18"/>
        <v>5995.88</v>
      </c>
      <c r="BC45" s="286" t="s">
        <v>434</v>
      </c>
      <c r="BD45" s="286" t="s">
        <v>127</v>
      </c>
      <c r="BE45" s="286" t="s">
        <v>429</v>
      </c>
      <c r="BF45" s="286" t="s">
        <v>429</v>
      </c>
      <c r="BG45" s="287">
        <v>5995880</v>
      </c>
      <c r="BH45" s="287">
        <v>5995880</v>
      </c>
      <c r="BI45" s="287">
        <v>5995880</v>
      </c>
      <c r="BJ45" s="372">
        <f t="shared" si="20"/>
        <v>5995.88</v>
      </c>
      <c r="BK45" s="372">
        <f t="shared" si="21"/>
        <v>5995.88</v>
      </c>
      <c r="BL45" s="372">
        <f t="shared" si="22"/>
        <v>5995.88</v>
      </c>
      <c r="BV45" s="286" t="s">
        <v>616</v>
      </c>
      <c r="BW45" s="286" t="s">
        <v>617</v>
      </c>
      <c r="BX45" s="286" t="s">
        <v>429</v>
      </c>
      <c r="BY45" s="286" t="s">
        <v>429</v>
      </c>
      <c r="BZ45" s="287">
        <v>120000000</v>
      </c>
      <c r="CA45" s="287">
        <v>0</v>
      </c>
      <c r="CB45" s="287">
        <v>0</v>
      </c>
      <c r="CC45" s="287">
        <f t="shared" si="24"/>
        <v>120000</v>
      </c>
      <c r="CD45" s="287">
        <f t="shared" si="25"/>
        <v>0</v>
      </c>
      <c r="CE45" s="287">
        <f t="shared" si="26"/>
        <v>0</v>
      </c>
      <c r="CN45" s="286" t="s">
        <v>614</v>
      </c>
      <c r="CO45" s="286" t="s">
        <v>615</v>
      </c>
      <c r="CP45" s="286" t="s">
        <v>429</v>
      </c>
      <c r="CQ45" s="286" t="s">
        <v>429</v>
      </c>
      <c r="CR45" s="287">
        <v>0</v>
      </c>
      <c r="CS45" s="287">
        <v>31185000</v>
      </c>
      <c r="CT45" s="287">
        <v>7796249</v>
      </c>
      <c r="CU45" s="287">
        <f t="shared" si="28"/>
        <v>0</v>
      </c>
      <c r="CV45" s="287">
        <f t="shared" si="29"/>
        <v>31185</v>
      </c>
      <c r="CW45" s="287">
        <f t="shared" si="30"/>
        <v>7796.2489999999998</v>
      </c>
      <c r="DF45" s="286" t="s">
        <v>614</v>
      </c>
      <c r="DG45" s="288" t="s">
        <v>615</v>
      </c>
      <c r="DH45" s="286" t="s">
        <v>429</v>
      </c>
      <c r="DI45" s="288" t="s">
        <v>429</v>
      </c>
      <c r="DJ45" s="287">
        <v>0</v>
      </c>
      <c r="DK45" s="287">
        <v>31185000</v>
      </c>
      <c r="DL45" s="287">
        <v>10394998</v>
      </c>
      <c r="DM45" s="371">
        <f t="shared" si="32"/>
        <v>0</v>
      </c>
      <c r="DN45" s="371">
        <f t="shared" si="33"/>
        <v>31185</v>
      </c>
      <c r="DO45" s="371">
        <f t="shared" si="34"/>
        <v>10394.998</v>
      </c>
      <c r="DX45" s="286" t="s">
        <v>614</v>
      </c>
      <c r="DY45" s="288" t="s">
        <v>615</v>
      </c>
      <c r="DZ45" s="286" t="s">
        <v>429</v>
      </c>
      <c r="EA45" s="288" t="s">
        <v>429</v>
      </c>
      <c r="EB45" s="287">
        <v>41286000</v>
      </c>
      <c r="EC45" s="287">
        <v>0</v>
      </c>
      <c r="ED45" s="287">
        <v>0</v>
      </c>
      <c r="EE45" s="287">
        <f t="shared" si="36"/>
        <v>41286</v>
      </c>
      <c r="EF45" s="287">
        <f t="shared" si="37"/>
        <v>0</v>
      </c>
      <c r="EG45" s="287">
        <f t="shared" si="38"/>
        <v>0</v>
      </c>
      <c r="EQ45" s="286" t="s">
        <v>614</v>
      </c>
      <c r="ER45" s="288" t="s">
        <v>615</v>
      </c>
      <c r="ES45" s="286" t="s">
        <v>429</v>
      </c>
      <c r="ET45" s="286" t="s">
        <v>429</v>
      </c>
      <c r="EU45" s="287">
        <v>41286000</v>
      </c>
      <c r="EV45" s="287">
        <v>0</v>
      </c>
      <c r="EW45" s="287">
        <v>0</v>
      </c>
      <c r="EX45" s="376">
        <f t="shared" si="40"/>
        <v>41286</v>
      </c>
      <c r="EY45" s="376">
        <f t="shared" si="41"/>
        <v>0</v>
      </c>
      <c r="EZ45" s="376">
        <f t="shared" si="42"/>
        <v>0</v>
      </c>
      <c r="FJ45" s="484"/>
      <c r="FK45" s="490" t="s">
        <v>614</v>
      </c>
      <c r="FL45" s="490" t="s">
        <v>615</v>
      </c>
      <c r="FM45" s="490" t="s">
        <v>429</v>
      </c>
      <c r="FN45" s="490" t="s">
        <v>429</v>
      </c>
      <c r="FO45" s="371">
        <v>41286000</v>
      </c>
      <c r="FP45" s="371">
        <v>0</v>
      </c>
      <c r="FQ45" s="371">
        <v>0</v>
      </c>
      <c r="FR45" s="371">
        <f t="shared" si="43"/>
        <v>41286</v>
      </c>
      <c r="FS45" s="371">
        <f t="shared" si="52"/>
        <v>0</v>
      </c>
      <c r="FT45" s="371">
        <f t="shared" si="53"/>
        <v>0</v>
      </c>
      <c r="FU45" s="484"/>
      <c r="FV45" s="484"/>
      <c r="FW45" s="484"/>
      <c r="GC45" s="275" t="s">
        <v>504</v>
      </c>
      <c r="GD45" s="275" t="s">
        <v>507</v>
      </c>
      <c r="GE45" s="275" t="s">
        <v>429</v>
      </c>
      <c r="GF45" s="275" t="s">
        <v>429</v>
      </c>
      <c r="GG45" s="372">
        <v>150139000</v>
      </c>
      <c r="GH45" s="372">
        <v>0</v>
      </c>
      <c r="GI45" s="372">
        <v>0</v>
      </c>
      <c r="GJ45" s="372">
        <f t="shared" si="45"/>
        <v>150139</v>
      </c>
      <c r="GK45" s="372">
        <f t="shared" si="46"/>
        <v>0</v>
      </c>
      <c r="GL45" s="372">
        <f t="shared" si="47"/>
        <v>0</v>
      </c>
      <c r="GU45" s="275" t="s">
        <v>445</v>
      </c>
      <c r="GV45" s="275" t="s">
        <v>446</v>
      </c>
      <c r="GW45" s="275" t="s">
        <v>429</v>
      </c>
      <c r="GX45" s="275" t="s">
        <v>429</v>
      </c>
      <c r="GY45" s="491">
        <v>289348076</v>
      </c>
      <c r="GZ45" s="491">
        <v>0</v>
      </c>
      <c r="HA45" s="491">
        <v>0</v>
      </c>
      <c r="HB45" s="305">
        <f t="shared" si="49"/>
        <v>289348.076</v>
      </c>
      <c r="HC45" s="305">
        <f t="shared" si="50"/>
        <v>0</v>
      </c>
      <c r="HD45" s="305">
        <f t="shared" si="51"/>
        <v>0</v>
      </c>
    </row>
    <row r="46" spans="1:212" x14ac:dyDescent="0.2">
      <c r="S46" s="286" t="s">
        <v>434</v>
      </c>
      <c r="T46" s="288" t="s">
        <v>127</v>
      </c>
      <c r="U46" s="286" t="s">
        <v>429</v>
      </c>
      <c r="V46" s="288" t="s">
        <v>429</v>
      </c>
      <c r="W46" s="287">
        <v>0</v>
      </c>
      <c r="X46" s="287">
        <v>0</v>
      </c>
      <c r="Y46" s="287">
        <v>0</v>
      </c>
      <c r="Z46" s="361">
        <f t="shared" si="12"/>
        <v>0</v>
      </c>
      <c r="AA46" s="361">
        <f t="shared" si="13"/>
        <v>0</v>
      </c>
      <c r="AB46" s="361">
        <f t="shared" si="14"/>
        <v>0</v>
      </c>
      <c r="AK46" s="286" t="s">
        <v>434</v>
      </c>
      <c r="AL46" s="286" t="s">
        <v>127</v>
      </c>
      <c r="AM46" s="286" t="s">
        <v>429</v>
      </c>
      <c r="AN46" s="286" t="s">
        <v>429</v>
      </c>
      <c r="AO46" s="287">
        <v>0</v>
      </c>
      <c r="AP46" s="287">
        <v>0</v>
      </c>
      <c r="AQ46" s="287">
        <v>0</v>
      </c>
      <c r="AR46" s="287">
        <f t="shared" si="16"/>
        <v>0</v>
      </c>
      <c r="AS46" s="287">
        <f t="shared" si="17"/>
        <v>0</v>
      </c>
      <c r="AT46" s="287">
        <f t="shared" si="18"/>
        <v>0</v>
      </c>
      <c r="BC46" s="286" t="s">
        <v>434</v>
      </c>
      <c r="BD46" s="286" t="s">
        <v>127</v>
      </c>
      <c r="BE46" s="286" t="s">
        <v>429</v>
      </c>
      <c r="BF46" s="286" t="s">
        <v>429</v>
      </c>
      <c r="BG46" s="287">
        <v>0</v>
      </c>
      <c r="BH46" s="287">
        <v>0</v>
      </c>
      <c r="BI46" s="287">
        <v>0</v>
      </c>
      <c r="BJ46" s="372">
        <f t="shared" si="20"/>
        <v>0</v>
      </c>
      <c r="BK46" s="372">
        <f t="shared" si="21"/>
        <v>0</v>
      </c>
      <c r="BL46" s="372">
        <f t="shared" si="22"/>
        <v>0</v>
      </c>
      <c r="BV46" s="286" t="s">
        <v>434</v>
      </c>
      <c r="BW46" s="286" t="s">
        <v>127</v>
      </c>
      <c r="BX46" s="286" t="s">
        <v>429</v>
      </c>
      <c r="BY46" s="286" t="s">
        <v>429</v>
      </c>
      <c r="BZ46" s="287">
        <v>272873100</v>
      </c>
      <c r="CA46" s="287">
        <v>0</v>
      </c>
      <c r="CB46" s="287">
        <v>0</v>
      </c>
      <c r="CC46" s="287">
        <f t="shared" si="24"/>
        <v>272873.09999999998</v>
      </c>
      <c r="CD46" s="287">
        <f t="shared" si="25"/>
        <v>0</v>
      </c>
      <c r="CE46" s="287">
        <f t="shared" si="26"/>
        <v>0</v>
      </c>
      <c r="CN46" s="286" t="s">
        <v>616</v>
      </c>
      <c r="CO46" s="286" t="s">
        <v>617</v>
      </c>
      <c r="CP46" s="286" t="s">
        <v>429</v>
      </c>
      <c r="CQ46" s="286" t="s">
        <v>429</v>
      </c>
      <c r="CR46" s="287">
        <v>120000000</v>
      </c>
      <c r="CS46" s="287">
        <v>0</v>
      </c>
      <c r="CT46" s="287">
        <v>0</v>
      </c>
      <c r="CU46" s="287">
        <f t="shared" si="28"/>
        <v>120000</v>
      </c>
      <c r="CV46" s="287">
        <f t="shared" si="29"/>
        <v>0</v>
      </c>
      <c r="CW46" s="287">
        <f t="shared" si="30"/>
        <v>0</v>
      </c>
      <c r="DF46" s="286" t="s">
        <v>616</v>
      </c>
      <c r="DG46" s="288" t="s">
        <v>617</v>
      </c>
      <c r="DH46" s="286" t="s">
        <v>429</v>
      </c>
      <c r="DI46" s="288" t="s">
        <v>429</v>
      </c>
      <c r="DJ46" s="287">
        <v>120000000</v>
      </c>
      <c r="DK46" s="287">
        <v>0</v>
      </c>
      <c r="DL46" s="287">
        <v>0</v>
      </c>
      <c r="DM46" s="371">
        <f t="shared" si="32"/>
        <v>120000</v>
      </c>
      <c r="DN46" s="371">
        <f t="shared" si="33"/>
        <v>0</v>
      </c>
      <c r="DO46" s="371">
        <f t="shared" si="34"/>
        <v>0</v>
      </c>
      <c r="DX46" s="286" t="s">
        <v>614</v>
      </c>
      <c r="DY46" s="288" t="s">
        <v>615</v>
      </c>
      <c r="DZ46" s="286" t="s">
        <v>429</v>
      </c>
      <c r="EA46" s="288" t="s">
        <v>429</v>
      </c>
      <c r="EB46" s="287">
        <v>0</v>
      </c>
      <c r="EC46" s="287">
        <v>31185000</v>
      </c>
      <c r="ED46" s="287">
        <v>10394998</v>
      </c>
      <c r="EE46" s="287">
        <f t="shared" si="36"/>
        <v>0</v>
      </c>
      <c r="EF46" s="287">
        <f t="shared" si="37"/>
        <v>31185</v>
      </c>
      <c r="EG46" s="287">
        <f t="shared" si="38"/>
        <v>10394.998</v>
      </c>
      <c r="EQ46" s="286" t="s">
        <v>614</v>
      </c>
      <c r="ER46" s="288" t="s">
        <v>615</v>
      </c>
      <c r="ES46" s="286" t="s">
        <v>429</v>
      </c>
      <c r="ET46" s="286" t="s">
        <v>429</v>
      </c>
      <c r="EU46" s="287">
        <v>0</v>
      </c>
      <c r="EV46" s="287">
        <v>20789994</v>
      </c>
      <c r="EW46" s="287">
        <v>31185000</v>
      </c>
      <c r="EX46" s="376">
        <f t="shared" si="40"/>
        <v>0</v>
      </c>
      <c r="EY46" s="376">
        <f t="shared" si="41"/>
        <v>20789.993999999999</v>
      </c>
      <c r="EZ46" s="376">
        <f t="shared" si="42"/>
        <v>31185</v>
      </c>
      <c r="FJ46" s="484"/>
      <c r="FK46" s="490" t="s">
        <v>614</v>
      </c>
      <c r="FL46" s="490" t="s">
        <v>615</v>
      </c>
      <c r="FM46" s="490" t="s">
        <v>429</v>
      </c>
      <c r="FN46" s="490" t="s">
        <v>429</v>
      </c>
      <c r="FO46" s="371">
        <v>0</v>
      </c>
      <c r="FP46" s="371">
        <v>31185000</v>
      </c>
      <c r="FQ46" s="371">
        <v>20789994</v>
      </c>
      <c r="FR46" s="371">
        <f t="shared" si="43"/>
        <v>0</v>
      </c>
      <c r="FS46" s="371">
        <f t="shared" si="52"/>
        <v>31185</v>
      </c>
      <c r="FT46" s="371">
        <f t="shared" si="53"/>
        <v>20789.993999999999</v>
      </c>
      <c r="FU46" s="484"/>
      <c r="FV46" s="484"/>
      <c r="FW46" s="484"/>
      <c r="GC46" s="275" t="s">
        <v>504</v>
      </c>
      <c r="GD46" s="275" t="s">
        <v>507</v>
      </c>
      <c r="GE46" s="275" t="s">
        <v>429</v>
      </c>
      <c r="GF46" s="275" t="s">
        <v>429</v>
      </c>
      <c r="GG46" s="372">
        <v>0</v>
      </c>
      <c r="GH46" s="372">
        <v>149940000</v>
      </c>
      <c r="GI46" s="372">
        <v>125949600</v>
      </c>
      <c r="GJ46" s="372">
        <f t="shared" si="45"/>
        <v>0</v>
      </c>
      <c r="GK46" s="372">
        <f t="shared" si="46"/>
        <v>149940</v>
      </c>
      <c r="GL46" s="372">
        <f t="shared" si="47"/>
        <v>125949.6</v>
      </c>
      <c r="GU46" s="275" t="s">
        <v>445</v>
      </c>
      <c r="GV46" s="275" t="s">
        <v>446</v>
      </c>
      <c r="GW46" s="275" t="s">
        <v>429</v>
      </c>
      <c r="GX46" s="275" t="s">
        <v>429</v>
      </c>
      <c r="GY46" s="491">
        <v>0</v>
      </c>
      <c r="GZ46" s="491">
        <v>232164671</v>
      </c>
      <c r="HA46" s="491">
        <v>232164671</v>
      </c>
      <c r="HB46" s="305">
        <f t="shared" si="49"/>
        <v>0</v>
      </c>
      <c r="HC46" s="305">
        <f t="shared" si="50"/>
        <v>232164.671</v>
      </c>
      <c r="HD46" s="305">
        <f t="shared" si="51"/>
        <v>232164.671</v>
      </c>
    </row>
    <row r="47" spans="1:212" x14ac:dyDescent="0.2">
      <c r="S47" s="286" t="s">
        <v>434</v>
      </c>
      <c r="T47" s="288" t="s">
        <v>127</v>
      </c>
      <c r="U47" s="286" t="s">
        <v>429</v>
      </c>
      <c r="V47" s="288" t="s">
        <v>429</v>
      </c>
      <c r="W47" s="287">
        <v>0</v>
      </c>
      <c r="X47" s="287">
        <v>159772630</v>
      </c>
      <c r="Y47" s="287">
        <v>159772630</v>
      </c>
      <c r="Z47" s="361">
        <f t="shared" si="12"/>
        <v>0</v>
      </c>
      <c r="AA47" s="361">
        <f t="shared" si="13"/>
        <v>166483.08046</v>
      </c>
      <c r="AB47" s="361">
        <f t="shared" si="14"/>
        <v>166483.08046</v>
      </c>
      <c r="AK47" s="286" t="s">
        <v>434</v>
      </c>
      <c r="AL47" s="286" t="s">
        <v>127</v>
      </c>
      <c r="AM47" s="286" t="s">
        <v>429</v>
      </c>
      <c r="AN47" s="286" t="s">
        <v>429</v>
      </c>
      <c r="AO47" s="287">
        <v>0</v>
      </c>
      <c r="AP47" s="287">
        <v>159772630</v>
      </c>
      <c r="AQ47" s="287">
        <v>159772630</v>
      </c>
      <c r="AR47" s="287">
        <f t="shared" si="16"/>
        <v>0</v>
      </c>
      <c r="AS47" s="287">
        <f t="shared" si="17"/>
        <v>159772.63</v>
      </c>
      <c r="AT47" s="287">
        <f t="shared" si="18"/>
        <v>159772.63</v>
      </c>
      <c r="BC47" s="286" t="s">
        <v>434</v>
      </c>
      <c r="BD47" s="286" t="s">
        <v>127</v>
      </c>
      <c r="BE47" s="286" t="s">
        <v>429</v>
      </c>
      <c r="BF47" s="286" t="s">
        <v>429</v>
      </c>
      <c r="BG47" s="287">
        <v>159772630</v>
      </c>
      <c r="BH47" s="287">
        <v>159772630</v>
      </c>
      <c r="BI47" s="287">
        <v>159772630</v>
      </c>
      <c r="BJ47" s="372">
        <f t="shared" si="20"/>
        <v>159772.63</v>
      </c>
      <c r="BK47" s="372">
        <f t="shared" si="21"/>
        <v>159772.63</v>
      </c>
      <c r="BL47" s="372">
        <f t="shared" si="22"/>
        <v>159772.63</v>
      </c>
      <c r="BV47" s="286" t="s">
        <v>434</v>
      </c>
      <c r="BW47" s="286" t="s">
        <v>127</v>
      </c>
      <c r="BX47" s="286" t="s">
        <v>429</v>
      </c>
      <c r="BY47" s="286" t="s">
        <v>429</v>
      </c>
      <c r="BZ47" s="287">
        <v>0</v>
      </c>
      <c r="CA47" s="287">
        <v>0</v>
      </c>
      <c r="CB47" s="287">
        <v>0</v>
      </c>
      <c r="CC47" s="287">
        <f t="shared" si="24"/>
        <v>0</v>
      </c>
      <c r="CD47" s="287">
        <f t="shared" si="25"/>
        <v>0</v>
      </c>
      <c r="CE47" s="287">
        <f t="shared" si="26"/>
        <v>0</v>
      </c>
      <c r="CN47" s="286" t="s">
        <v>434</v>
      </c>
      <c r="CO47" s="286" t="s">
        <v>127</v>
      </c>
      <c r="CP47" s="286" t="s">
        <v>429</v>
      </c>
      <c r="CQ47" s="286" t="s">
        <v>429</v>
      </c>
      <c r="CR47" s="287">
        <v>272873100</v>
      </c>
      <c r="CS47" s="287">
        <v>0</v>
      </c>
      <c r="CT47" s="287">
        <v>0</v>
      </c>
      <c r="CU47" s="287">
        <f t="shared" si="28"/>
        <v>272873.09999999998</v>
      </c>
      <c r="CV47" s="287">
        <f t="shared" si="29"/>
        <v>0</v>
      </c>
      <c r="CW47" s="287">
        <f t="shared" si="30"/>
        <v>0</v>
      </c>
      <c r="DF47" s="286" t="s">
        <v>434</v>
      </c>
      <c r="DG47" s="288" t="s">
        <v>127</v>
      </c>
      <c r="DH47" s="286" t="s">
        <v>429</v>
      </c>
      <c r="DI47" s="288" t="s">
        <v>429</v>
      </c>
      <c r="DJ47" s="287">
        <v>272873100</v>
      </c>
      <c r="DK47" s="287">
        <v>0</v>
      </c>
      <c r="DL47" s="287">
        <v>0</v>
      </c>
      <c r="DM47" s="371">
        <f t="shared" si="32"/>
        <v>272873.09999999998</v>
      </c>
      <c r="DN47" s="371">
        <f t="shared" si="33"/>
        <v>0</v>
      </c>
      <c r="DO47" s="371">
        <f t="shared" si="34"/>
        <v>0</v>
      </c>
      <c r="DX47" s="286" t="s">
        <v>616</v>
      </c>
      <c r="DY47" s="288" t="s">
        <v>617</v>
      </c>
      <c r="DZ47" s="286" t="s">
        <v>429</v>
      </c>
      <c r="EA47" s="288" t="s">
        <v>429</v>
      </c>
      <c r="EB47" s="287">
        <v>120000000</v>
      </c>
      <c r="EC47" s="287">
        <v>0</v>
      </c>
      <c r="ED47" s="287">
        <v>0</v>
      </c>
      <c r="EE47" s="287">
        <f t="shared" si="36"/>
        <v>120000</v>
      </c>
      <c r="EF47" s="287">
        <f t="shared" si="37"/>
        <v>0</v>
      </c>
      <c r="EG47" s="287">
        <f t="shared" si="38"/>
        <v>0</v>
      </c>
      <c r="EQ47" s="286" t="s">
        <v>616</v>
      </c>
      <c r="ER47" s="288" t="s">
        <v>617</v>
      </c>
      <c r="ES47" s="286" t="s">
        <v>429</v>
      </c>
      <c r="ET47" s="286" t="s">
        <v>429</v>
      </c>
      <c r="EU47" s="287">
        <v>120000000</v>
      </c>
      <c r="EV47" s="287">
        <v>0</v>
      </c>
      <c r="EW47" s="287">
        <v>0</v>
      </c>
      <c r="EX47" s="376">
        <f t="shared" si="40"/>
        <v>120000</v>
      </c>
      <c r="EY47" s="376">
        <f t="shared" si="41"/>
        <v>0</v>
      </c>
      <c r="EZ47" s="376">
        <f t="shared" si="42"/>
        <v>0</v>
      </c>
      <c r="FJ47" s="484"/>
      <c r="FK47" s="490" t="s">
        <v>616</v>
      </c>
      <c r="FL47" s="490" t="s">
        <v>617</v>
      </c>
      <c r="FM47" s="490" t="s">
        <v>429</v>
      </c>
      <c r="FN47" s="490" t="s">
        <v>429</v>
      </c>
      <c r="FO47" s="371">
        <v>120000000</v>
      </c>
      <c r="FP47" s="371">
        <v>0</v>
      </c>
      <c r="FQ47" s="371">
        <v>0</v>
      </c>
      <c r="FR47" s="371">
        <f t="shared" si="43"/>
        <v>120000</v>
      </c>
      <c r="FS47" s="371">
        <f t="shared" si="52"/>
        <v>0</v>
      </c>
      <c r="FT47" s="371">
        <f t="shared" si="53"/>
        <v>0</v>
      </c>
      <c r="FU47" s="484"/>
      <c r="FV47" s="484"/>
      <c r="FW47" s="484"/>
      <c r="GC47" s="275" t="s">
        <v>614</v>
      </c>
      <c r="GD47" s="275" t="s">
        <v>615</v>
      </c>
      <c r="GE47" s="275" t="s">
        <v>429</v>
      </c>
      <c r="GF47" s="275" t="s">
        <v>429</v>
      </c>
      <c r="GG47" s="372">
        <v>32485000</v>
      </c>
      <c r="GH47" s="372">
        <v>0</v>
      </c>
      <c r="GI47" s="372">
        <v>0</v>
      </c>
      <c r="GJ47" s="372">
        <f t="shared" si="45"/>
        <v>32485</v>
      </c>
      <c r="GK47" s="372">
        <f t="shared" si="46"/>
        <v>0</v>
      </c>
      <c r="GL47" s="372">
        <f t="shared" si="47"/>
        <v>0</v>
      </c>
      <c r="GU47" s="275" t="s">
        <v>504</v>
      </c>
      <c r="GV47" s="275" t="s">
        <v>507</v>
      </c>
      <c r="GW47" s="275" t="s">
        <v>429</v>
      </c>
      <c r="GX47" s="275" t="s">
        <v>429</v>
      </c>
      <c r="GY47" s="491">
        <v>149940000</v>
      </c>
      <c r="GZ47" s="491">
        <v>0</v>
      </c>
      <c r="HA47" s="491">
        <v>0</v>
      </c>
      <c r="HB47" s="305">
        <f t="shared" si="49"/>
        <v>149940</v>
      </c>
      <c r="HC47" s="305">
        <f t="shared" si="50"/>
        <v>0</v>
      </c>
      <c r="HD47" s="305">
        <f t="shared" si="51"/>
        <v>0</v>
      </c>
    </row>
    <row r="48" spans="1:212" x14ac:dyDescent="0.2">
      <c r="Z48" s="377"/>
      <c r="AR48" s="287">
        <f t="shared" si="16"/>
        <v>0</v>
      </c>
      <c r="AS48" s="287">
        <f t="shared" si="17"/>
        <v>0</v>
      </c>
      <c r="AT48" s="287">
        <f t="shared" si="18"/>
        <v>0</v>
      </c>
      <c r="BC48" s="286" t="s">
        <v>434</v>
      </c>
      <c r="BD48" s="286" t="s">
        <v>127</v>
      </c>
      <c r="BE48" s="286" t="s">
        <v>429</v>
      </c>
      <c r="BF48" s="286" t="s">
        <v>429</v>
      </c>
      <c r="BG48" s="287">
        <v>107104433</v>
      </c>
      <c r="BH48" s="287">
        <v>107104433</v>
      </c>
      <c r="BI48" s="287">
        <v>107104433</v>
      </c>
      <c r="BJ48" s="372">
        <f t="shared" si="20"/>
        <v>107104.433</v>
      </c>
      <c r="BK48" s="372">
        <f t="shared" si="21"/>
        <v>107104.433</v>
      </c>
      <c r="BL48" s="372">
        <f t="shared" si="22"/>
        <v>107104.433</v>
      </c>
      <c r="BV48" s="286" t="s">
        <v>434</v>
      </c>
      <c r="BW48" s="286" t="s">
        <v>127</v>
      </c>
      <c r="BX48" s="286" t="s">
        <v>429</v>
      </c>
      <c r="BY48" s="286" t="s">
        <v>429</v>
      </c>
      <c r="BZ48" s="287">
        <v>0</v>
      </c>
      <c r="CA48" s="287">
        <v>107104433</v>
      </c>
      <c r="CB48" s="287">
        <v>107104433</v>
      </c>
      <c r="CC48" s="287">
        <f t="shared" si="24"/>
        <v>0</v>
      </c>
      <c r="CD48" s="287">
        <f t="shared" si="25"/>
        <v>107104.433</v>
      </c>
      <c r="CE48" s="287">
        <f t="shared" si="26"/>
        <v>107104.433</v>
      </c>
      <c r="CN48" s="286" t="s">
        <v>434</v>
      </c>
      <c r="CO48" s="286" t="s">
        <v>127</v>
      </c>
      <c r="CP48" s="286" t="s">
        <v>429</v>
      </c>
      <c r="CQ48" s="286" t="s">
        <v>429</v>
      </c>
      <c r="CR48" s="287">
        <v>0</v>
      </c>
      <c r="CS48" s="287">
        <v>0</v>
      </c>
      <c r="CT48" s="287">
        <v>0</v>
      </c>
      <c r="CU48" s="287">
        <f t="shared" si="28"/>
        <v>0</v>
      </c>
      <c r="CV48" s="287">
        <f t="shared" si="29"/>
        <v>0</v>
      </c>
      <c r="CW48" s="287">
        <f t="shared" si="30"/>
        <v>0</v>
      </c>
      <c r="DF48" s="286" t="s">
        <v>434</v>
      </c>
      <c r="DG48" s="288" t="s">
        <v>127</v>
      </c>
      <c r="DH48" s="286" t="s">
        <v>429</v>
      </c>
      <c r="DI48" s="288" t="s">
        <v>429</v>
      </c>
      <c r="DJ48" s="287">
        <v>0</v>
      </c>
      <c r="DK48" s="287">
        <v>107104433</v>
      </c>
      <c r="DL48" s="287">
        <v>107104433</v>
      </c>
      <c r="DM48" s="371">
        <f t="shared" si="32"/>
        <v>0</v>
      </c>
      <c r="DN48" s="371">
        <f t="shared" si="33"/>
        <v>107104.433</v>
      </c>
      <c r="DO48" s="371">
        <f t="shared" si="34"/>
        <v>107104.433</v>
      </c>
      <c r="DX48" s="286" t="s">
        <v>434</v>
      </c>
      <c r="DY48" s="288" t="s">
        <v>127</v>
      </c>
      <c r="DZ48" s="286" t="s">
        <v>429</v>
      </c>
      <c r="EA48" s="288" t="s">
        <v>429</v>
      </c>
      <c r="EB48" s="287">
        <v>272873100</v>
      </c>
      <c r="EC48" s="287">
        <v>0</v>
      </c>
      <c r="ED48" s="287">
        <v>0</v>
      </c>
      <c r="EE48" s="287">
        <f t="shared" si="36"/>
        <v>272873.09999999998</v>
      </c>
      <c r="EF48" s="287">
        <f t="shared" si="37"/>
        <v>0</v>
      </c>
      <c r="EG48" s="287">
        <f t="shared" si="38"/>
        <v>0</v>
      </c>
      <c r="EQ48" s="286" t="s">
        <v>434</v>
      </c>
      <c r="ER48" s="288" t="s">
        <v>127</v>
      </c>
      <c r="ES48" s="286" t="s">
        <v>429</v>
      </c>
      <c r="ET48" s="286" t="s">
        <v>429</v>
      </c>
      <c r="EU48" s="287">
        <v>272873100</v>
      </c>
      <c r="EV48" s="287">
        <v>0</v>
      </c>
      <c r="EW48" s="287">
        <v>0</v>
      </c>
      <c r="EX48" s="376">
        <f t="shared" si="40"/>
        <v>272873.09999999998</v>
      </c>
      <c r="EY48" s="376">
        <f t="shared" si="41"/>
        <v>0</v>
      </c>
      <c r="EZ48" s="376">
        <f t="shared" si="42"/>
        <v>0</v>
      </c>
      <c r="FJ48" s="484"/>
      <c r="FK48" s="490" t="s">
        <v>434</v>
      </c>
      <c r="FL48" s="490" t="s">
        <v>127</v>
      </c>
      <c r="FM48" s="490" t="s">
        <v>429</v>
      </c>
      <c r="FN48" s="490" t="s">
        <v>429</v>
      </c>
      <c r="FO48" s="371">
        <v>272873100</v>
      </c>
      <c r="FP48" s="371">
        <v>0</v>
      </c>
      <c r="FQ48" s="371">
        <v>0</v>
      </c>
      <c r="FR48" s="371">
        <f t="shared" si="43"/>
        <v>272873.09999999998</v>
      </c>
      <c r="FS48" s="371">
        <f t="shared" si="52"/>
        <v>0</v>
      </c>
      <c r="FT48" s="371">
        <f t="shared" si="53"/>
        <v>0</v>
      </c>
      <c r="FU48" s="484"/>
      <c r="FV48" s="484"/>
      <c r="FW48" s="484"/>
      <c r="GC48" s="275" t="s">
        <v>614</v>
      </c>
      <c r="GD48" s="275" t="s">
        <v>615</v>
      </c>
      <c r="GE48" s="275" t="s">
        <v>429</v>
      </c>
      <c r="GF48" s="275" t="s">
        <v>429</v>
      </c>
      <c r="GG48" s="372">
        <v>0</v>
      </c>
      <c r="GH48" s="372">
        <v>32196500</v>
      </c>
      <c r="GI48" s="372">
        <v>23388743</v>
      </c>
      <c r="GJ48" s="372">
        <f t="shared" si="45"/>
        <v>0</v>
      </c>
      <c r="GK48" s="372">
        <f t="shared" si="46"/>
        <v>32196.5</v>
      </c>
      <c r="GL48" s="372">
        <f t="shared" si="47"/>
        <v>23388.742999999999</v>
      </c>
      <c r="GU48" s="275" t="s">
        <v>504</v>
      </c>
      <c r="GV48" s="275" t="s">
        <v>507</v>
      </c>
      <c r="GW48" s="275" t="s">
        <v>429</v>
      </c>
      <c r="GX48" s="275" t="s">
        <v>429</v>
      </c>
      <c r="GY48" s="491">
        <v>0</v>
      </c>
      <c r="GZ48" s="491">
        <v>149940000</v>
      </c>
      <c r="HA48" s="491">
        <v>149940000</v>
      </c>
      <c r="HB48" s="305">
        <f t="shared" si="49"/>
        <v>0</v>
      </c>
      <c r="HC48" s="305">
        <f t="shared" si="50"/>
        <v>149940</v>
      </c>
      <c r="HD48" s="305">
        <f t="shared" si="51"/>
        <v>149940</v>
      </c>
    </row>
    <row r="49" spans="26:212" x14ac:dyDescent="0.2">
      <c r="Z49" s="279"/>
      <c r="BV49" s="286" t="s">
        <v>434</v>
      </c>
      <c r="BW49" s="286" t="s">
        <v>127</v>
      </c>
      <c r="BX49" s="286" t="s">
        <v>429</v>
      </c>
      <c r="BY49" s="286" t="s">
        <v>429</v>
      </c>
      <c r="BZ49" s="287">
        <v>0</v>
      </c>
      <c r="CA49" s="287">
        <v>159772630</v>
      </c>
      <c r="CB49" s="287">
        <v>159772630</v>
      </c>
      <c r="CC49" s="287">
        <f t="shared" si="24"/>
        <v>0</v>
      </c>
      <c r="CD49" s="287">
        <f t="shared" si="25"/>
        <v>159772.63</v>
      </c>
      <c r="CE49" s="287">
        <f t="shared" si="26"/>
        <v>159772.63</v>
      </c>
      <c r="CN49" s="286" t="s">
        <v>434</v>
      </c>
      <c r="CO49" s="286" t="s">
        <v>127</v>
      </c>
      <c r="CP49" s="286" t="s">
        <v>429</v>
      </c>
      <c r="CQ49" s="286" t="s">
        <v>429</v>
      </c>
      <c r="CR49" s="287">
        <v>0</v>
      </c>
      <c r="CS49" s="287">
        <v>5995880</v>
      </c>
      <c r="CT49" s="287">
        <v>5995880</v>
      </c>
      <c r="CU49" s="287">
        <f t="shared" si="28"/>
        <v>0</v>
      </c>
      <c r="CV49" s="287">
        <f t="shared" si="29"/>
        <v>5995.88</v>
      </c>
      <c r="CW49" s="287">
        <f t="shared" si="30"/>
        <v>5995.88</v>
      </c>
      <c r="DF49" s="286" t="s">
        <v>434</v>
      </c>
      <c r="DG49" s="288" t="s">
        <v>127</v>
      </c>
      <c r="DH49" s="286" t="s">
        <v>429</v>
      </c>
      <c r="DI49" s="288" t="s">
        <v>429</v>
      </c>
      <c r="DJ49" s="287">
        <v>0</v>
      </c>
      <c r="DK49" s="287">
        <v>0</v>
      </c>
      <c r="DL49" s="287">
        <v>0</v>
      </c>
      <c r="DM49" s="371">
        <f t="shared" si="32"/>
        <v>0</v>
      </c>
      <c r="DN49" s="371">
        <f t="shared" si="33"/>
        <v>0</v>
      </c>
      <c r="DO49" s="371">
        <f t="shared" si="34"/>
        <v>0</v>
      </c>
      <c r="DX49" s="286" t="s">
        <v>434</v>
      </c>
      <c r="DY49" s="288" t="s">
        <v>127</v>
      </c>
      <c r="DZ49" s="286" t="s">
        <v>429</v>
      </c>
      <c r="EA49" s="288" t="s">
        <v>429</v>
      </c>
      <c r="EB49" s="287">
        <v>0</v>
      </c>
      <c r="EC49" s="287">
        <v>107104433</v>
      </c>
      <c r="ED49" s="287">
        <v>107104433</v>
      </c>
      <c r="EE49" s="287">
        <f t="shared" si="36"/>
        <v>0</v>
      </c>
      <c r="EF49" s="287">
        <f t="shared" si="37"/>
        <v>107104.433</v>
      </c>
      <c r="EG49" s="287">
        <f t="shared" si="38"/>
        <v>107104.433</v>
      </c>
      <c r="EQ49" s="286" t="s">
        <v>434</v>
      </c>
      <c r="ER49" s="288" t="s">
        <v>127</v>
      </c>
      <c r="ES49" s="286" t="s">
        <v>429</v>
      </c>
      <c r="ET49" s="286" t="s">
        <v>429</v>
      </c>
      <c r="EU49" s="287">
        <v>0</v>
      </c>
      <c r="EV49" s="287">
        <v>159772630</v>
      </c>
      <c r="EW49" s="287">
        <v>159772630</v>
      </c>
      <c r="EX49" s="376">
        <f t="shared" si="40"/>
        <v>0</v>
      </c>
      <c r="EY49" s="376">
        <f t="shared" si="41"/>
        <v>159772.63</v>
      </c>
      <c r="EZ49" s="376">
        <f t="shared" si="42"/>
        <v>159772.63</v>
      </c>
      <c r="FJ49" s="484"/>
      <c r="FK49" s="490" t="s">
        <v>434</v>
      </c>
      <c r="FL49" s="490" t="s">
        <v>127</v>
      </c>
      <c r="FM49" s="490" t="s">
        <v>429</v>
      </c>
      <c r="FN49" s="490" t="s">
        <v>429</v>
      </c>
      <c r="FO49" s="371">
        <v>0</v>
      </c>
      <c r="FP49" s="371">
        <v>159772630</v>
      </c>
      <c r="FQ49" s="371">
        <v>159772630</v>
      </c>
      <c r="FR49" s="371">
        <f t="shared" si="43"/>
        <v>0</v>
      </c>
      <c r="FS49" s="371">
        <f t="shared" si="52"/>
        <v>159772.63</v>
      </c>
      <c r="FT49" s="371">
        <f t="shared" si="53"/>
        <v>159772.63</v>
      </c>
      <c r="FU49" s="484"/>
      <c r="FV49" s="484"/>
      <c r="FW49" s="484"/>
      <c r="GC49" s="275" t="s">
        <v>616</v>
      </c>
      <c r="GD49" s="275" t="s">
        <v>617</v>
      </c>
      <c r="GE49" s="275" t="s">
        <v>429</v>
      </c>
      <c r="GF49" s="275" t="s">
        <v>429</v>
      </c>
      <c r="GG49" s="372">
        <v>68000000</v>
      </c>
      <c r="GH49" s="372">
        <v>0</v>
      </c>
      <c r="GI49" s="372">
        <v>0</v>
      </c>
      <c r="GJ49" s="372">
        <f t="shared" si="45"/>
        <v>68000</v>
      </c>
      <c r="GK49" s="372">
        <f t="shared" si="46"/>
        <v>0</v>
      </c>
      <c r="GL49" s="372">
        <f t="shared" si="47"/>
        <v>0</v>
      </c>
      <c r="GU49" s="275" t="s">
        <v>614</v>
      </c>
      <c r="GV49" s="275" t="s">
        <v>615</v>
      </c>
      <c r="GW49" s="275" t="s">
        <v>429</v>
      </c>
      <c r="GX49" s="275" t="s">
        <v>429</v>
      </c>
      <c r="GY49" s="491">
        <v>32196500</v>
      </c>
      <c r="GZ49" s="491">
        <v>0</v>
      </c>
      <c r="HA49" s="491">
        <v>0</v>
      </c>
      <c r="HB49" s="305">
        <f t="shared" si="49"/>
        <v>32196.5</v>
      </c>
      <c r="HC49" s="305">
        <f t="shared" si="50"/>
        <v>0</v>
      </c>
      <c r="HD49" s="305">
        <f t="shared" si="51"/>
        <v>0</v>
      </c>
    </row>
    <row r="50" spans="26:212" x14ac:dyDescent="0.2">
      <c r="BV50" s="286" t="s">
        <v>434</v>
      </c>
      <c r="BW50" s="286" t="s">
        <v>127</v>
      </c>
      <c r="BX50" s="286" t="s">
        <v>429</v>
      </c>
      <c r="BY50" s="286" t="s">
        <v>429</v>
      </c>
      <c r="BZ50" s="287">
        <v>0</v>
      </c>
      <c r="CA50" s="287">
        <v>0</v>
      </c>
      <c r="CB50" s="287">
        <v>0</v>
      </c>
      <c r="CC50" s="287">
        <f t="shared" si="24"/>
        <v>0</v>
      </c>
      <c r="CD50" s="287">
        <f t="shared" si="25"/>
        <v>0</v>
      </c>
      <c r="CE50" s="287">
        <f t="shared" si="26"/>
        <v>0</v>
      </c>
      <c r="CN50" s="286" t="s">
        <v>434</v>
      </c>
      <c r="CO50" s="286" t="s">
        <v>127</v>
      </c>
      <c r="CP50" s="286" t="s">
        <v>429</v>
      </c>
      <c r="CQ50" s="286" t="s">
        <v>429</v>
      </c>
      <c r="CR50" s="287">
        <v>0</v>
      </c>
      <c r="CS50" s="287">
        <v>0</v>
      </c>
      <c r="CT50" s="287">
        <v>0</v>
      </c>
      <c r="CU50" s="287">
        <f t="shared" si="28"/>
        <v>0</v>
      </c>
      <c r="CV50" s="287">
        <f t="shared" si="29"/>
        <v>0</v>
      </c>
      <c r="CW50" s="287">
        <f t="shared" si="30"/>
        <v>0</v>
      </c>
      <c r="DF50" s="286" t="s">
        <v>434</v>
      </c>
      <c r="DG50" s="288" t="s">
        <v>127</v>
      </c>
      <c r="DH50" s="286" t="s">
        <v>429</v>
      </c>
      <c r="DI50" s="288" t="s">
        <v>429</v>
      </c>
      <c r="DJ50" s="287">
        <v>0</v>
      </c>
      <c r="DK50" s="287">
        <v>5995880</v>
      </c>
      <c r="DL50" s="287">
        <v>5995880</v>
      </c>
      <c r="DM50" s="371">
        <f t="shared" si="32"/>
        <v>0</v>
      </c>
      <c r="DN50" s="371">
        <f t="shared" si="33"/>
        <v>5995.88</v>
      </c>
      <c r="DO50" s="371">
        <f t="shared" si="34"/>
        <v>5995.88</v>
      </c>
      <c r="DX50" s="286" t="s">
        <v>434</v>
      </c>
      <c r="DY50" s="288" t="s">
        <v>127</v>
      </c>
      <c r="DZ50" s="286" t="s">
        <v>429</v>
      </c>
      <c r="EA50" s="288" t="s">
        <v>429</v>
      </c>
      <c r="EB50" s="287">
        <v>0</v>
      </c>
      <c r="EC50" s="287">
        <v>0</v>
      </c>
      <c r="ED50" s="287">
        <v>0</v>
      </c>
      <c r="EE50" s="287">
        <f t="shared" si="36"/>
        <v>0</v>
      </c>
      <c r="EF50" s="287">
        <f t="shared" si="37"/>
        <v>0</v>
      </c>
      <c r="EG50" s="287">
        <f t="shared" si="38"/>
        <v>0</v>
      </c>
      <c r="EQ50" s="286" t="s">
        <v>434</v>
      </c>
      <c r="ER50" s="288" t="s">
        <v>127</v>
      </c>
      <c r="ES50" s="286" t="s">
        <v>429</v>
      </c>
      <c r="ET50" s="286" t="s">
        <v>429</v>
      </c>
      <c r="EU50" s="287">
        <v>0</v>
      </c>
      <c r="EV50" s="287">
        <v>0</v>
      </c>
      <c r="EW50" s="287">
        <v>0</v>
      </c>
      <c r="EX50" s="376">
        <f t="shared" si="40"/>
        <v>0</v>
      </c>
      <c r="EY50" s="376">
        <f t="shared" si="41"/>
        <v>0</v>
      </c>
      <c r="EZ50" s="376">
        <f t="shared" si="42"/>
        <v>0</v>
      </c>
      <c r="FJ50" s="484"/>
      <c r="FK50" s="490" t="s">
        <v>434</v>
      </c>
      <c r="FL50" s="490" t="s">
        <v>127</v>
      </c>
      <c r="FM50" s="490" t="s">
        <v>429</v>
      </c>
      <c r="FN50" s="490" t="s">
        <v>429</v>
      </c>
      <c r="FO50" s="371">
        <v>0</v>
      </c>
      <c r="FP50" s="371">
        <v>0</v>
      </c>
      <c r="FQ50" s="371">
        <v>0</v>
      </c>
      <c r="FR50" s="371">
        <f t="shared" si="43"/>
        <v>0</v>
      </c>
      <c r="FS50" s="371">
        <f t="shared" si="52"/>
        <v>0</v>
      </c>
      <c r="FT50" s="371">
        <f t="shared" si="53"/>
        <v>0</v>
      </c>
      <c r="FU50" s="484"/>
      <c r="FV50" s="484"/>
      <c r="FW50" s="484"/>
      <c r="GC50" s="275" t="s">
        <v>434</v>
      </c>
      <c r="GD50" s="275" t="s">
        <v>127</v>
      </c>
      <c r="GE50" s="275" t="s">
        <v>429</v>
      </c>
      <c r="GF50" s="275" t="s">
        <v>429</v>
      </c>
      <c r="GG50" s="372">
        <v>272873100</v>
      </c>
      <c r="GH50" s="372">
        <v>0</v>
      </c>
      <c r="GI50" s="372">
        <v>0</v>
      </c>
      <c r="GJ50" s="372">
        <f t="shared" si="45"/>
        <v>272873.09999999998</v>
      </c>
      <c r="GK50" s="372">
        <f t="shared" si="46"/>
        <v>0</v>
      </c>
      <c r="GL50" s="372">
        <f t="shared" si="47"/>
        <v>0</v>
      </c>
      <c r="GU50" s="275" t="s">
        <v>614</v>
      </c>
      <c r="GV50" s="275" t="s">
        <v>615</v>
      </c>
      <c r="GW50" s="275" t="s">
        <v>429</v>
      </c>
      <c r="GX50" s="275" t="s">
        <v>429</v>
      </c>
      <c r="GY50" s="491">
        <v>0</v>
      </c>
      <c r="GZ50" s="491">
        <v>29597741</v>
      </c>
      <c r="HA50" s="491">
        <v>29597741</v>
      </c>
      <c r="HB50" s="305">
        <f t="shared" si="49"/>
        <v>0</v>
      </c>
      <c r="HC50" s="305">
        <f t="shared" si="50"/>
        <v>29597.741000000002</v>
      </c>
      <c r="HD50" s="305">
        <f t="shared" si="51"/>
        <v>29597.741000000002</v>
      </c>
    </row>
    <row r="51" spans="26:212" x14ac:dyDescent="0.2">
      <c r="BV51" s="286" t="s">
        <v>434</v>
      </c>
      <c r="BW51" s="286" t="s">
        <v>127</v>
      </c>
      <c r="BX51" s="286" t="s">
        <v>429</v>
      </c>
      <c r="BY51" s="286" t="s">
        <v>429</v>
      </c>
      <c r="BZ51" s="287">
        <v>0</v>
      </c>
      <c r="CA51" s="287">
        <v>5995880</v>
      </c>
      <c r="CB51" s="287">
        <v>5995880</v>
      </c>
      <c r="CC51" s="287">
        <f t="shared" si="24"/>
        <v>0</v>
      </c>
      <c r="CD51" s="287">
        <f t="shared" si="25"/>
        <v>5995.88</v>
      </c>
      <c r="CE51" s="287">
        <f t="shared" si="26"/>
        <v>5995.88</v>
      </c>
      <c r="CN51" s="286" t="s">
        <v>434</v>
      </c>
      <c r="CO51" s="286" t="s">
        <v>127</v>
      </c>
      <c r="CP51" s="286" t="s">
        <v>429</v>
      </c>
      <c r="CQ51" s="286" t="s">
        <v>429</v>
      </c>
      <c r="CR51" s="287">
        <v>0</v>
      </c>
      <c r="CS51" s="287">
        <v>159772630</v>
      </c>
      <c r="CT51" s="287">
        <v>159772630</v>
      </c>
      <c r="CU51" s="287">
        <f t="shared" si="28"/>
        <v>0</v>
      </c>
      <c r="CV51" s="287">
        <f t="shared" si="29"/>
        <v>159772.63</v>
      </c>
      <c r="CW51" s="287">
        <f t="shared" si="30"/>
        <v>159772.63</v>
      </c>
      <c r="DF51" s="286" t="s">
        <v>434</v>
      </c>
      <c r="DG51" s="288" t="s">
        <v>127</v>
      </c>
      <c r="DH51" s="286" t="s">
        <v>429</v>
      </c>
      <c r="DI51" s="288" t="s">
        <v>429</v>
      </c>
      <c r="DJ51" s="287">
        <v>0</v>
      </c>
      <c r="DK51" s="287">
        <v>0</v>
      </c>
      <c r="DL51" s="287">
        <v>0</v>
      </c>
      <c r="DM51" s="371">
        <f t="shared" si="32"/>
        <v>0</v>
      </c>
      <c r="DN51" s="371">
        <f t="shared" si="33"/>
        <v>0</v>
      </c>
      <c r="DO51" s="371">
        <f t="shared" si="34"/>
        <v>0</v>
      </c>
      <c r="DX51" s="286" t="s">
        <v>434</v>
      </c>
      <c r="DY51" s="288" t="s">
        <v>127</v>
      </c>
      <c r="DZ51" s="286" t="s">
        <v>429</v>
      </c>
      <c r="EA51" s="288" t="s">
        <v>429</v>
      </c>
      <c r="EB51" s="287">
        <v>0</v>
      </c>
      <c r="EC51" s="287">
        <v>5995880</v>
      </c>
      <c r="ED51" s="287">
        <v>5995880</v>
      </c>
      <c r="EE51" s="287">
        <f t="shared" si="36"/>
        <v>0</v>
      </c>
      <c r="EF51" s="287">
        <f t="shared" si="37"/>
        <v>5995.88</v>
      </c>
      <c r="EG51" s="287">
        <f t="shared" si="38"/>
        <v>5995.88</v>
      </c>
      <c r="EQ51" s="286" t="s">
        <v>434</v>
      </c>
      <c r="ER51" s="288" t="s">
        <v>127</v>
      </c>
      <c r="ES51" s="286" t="s">
        <v>429</v>
      </c>
      <c r="ET51" s="286" t="s">
        <v>429</v>
      </c>
      <c r="EU51" s="287">
        <v>0</v>
      </c>
      <c r="EV51" s="287">
        <v>0</v>
      </c>
      <c r="EW51" s="287">
        <v>0</v>
      </c>
      <c r="EX51" s="376">
        <f t="shared" si="40"/>
        <v>0</v>
      </c>
      <c r="EY51" s="376">
        <f t="shared" si="41"/>
        <v>0</v>
      </c>
      <c r="EZ51" s="376">
        <f t="shared" si="42"/>
        <v>0</v>
      </c>
      <c r="FJ51" s="484"/>
      <c r="FK51" s="490" t="s">
        <v>434</v>
      </c>
      <c r="FL51" s="490" t="s">
        <v>127</v>
      </c>
      <c r="FM51" s="490" t="s">
        <v>429</v>
      </c>
      <c r="FN51" s="490" t="s">
        <v>429</v>
      </c>
      <c r="FO51" s="371">
        <v>0</v>
      </c>
      <c r="FP51" s="371">
        <v>0</v>
      </c>
      <c r="FQ51" s="371">
        <v>0</v>
      </c>
      <c r="FR51" s="371">
        <f t="shared" si="43"/>
        <v>0</v>
      </c>
      <c r="FS51" s="371">
        <f t="shared" si="52"/>
        <v>0</v>
      </c>
      <c r="FT51" s="371">
        <f t="shared" si="53"/>
        <v>0</v>
      </c>
      <c r="FU51" s="484"/>
      <c r="FV51" s="484"/>
      <c r="FW51" s="484"/>
      <c r="GC51" s="275" t="s">
        <v>434</v>
      </c>
      <c r="GD51" s="275" t="s">
        <v>127</v>
      </c>
      <c r="GE51" s="275" t="s">
        <v>429</v>
      </c>
      <c r="GF51" s="275" t="s">
        <v>429</v>
      </c>
      <c r="GG51" s="372">
        <v>0</v>
      </c>
      <c r="GH51" s="372">
        <v>159772630</v>
      </c>
      <c r="GI51" s="372">
        <v>159772630</v>
      </c>
      <c r="GJ51" s="372">
        <f t="shared" si="45"/>
        <v>0</v>
      </c>
      <c r="GK51" s="372">
        <f t="shared" si="46"/>
        <v>159772.63</v>
      </c>
      <c r="GL51" s="372">
        <f t="shared" si="47"/>
        <v>159772.63</v>
      </c>
      <c r="GU51" s="275" t="s">
        <v>616</v>
      </c>
      <c r="GV51" s="275" t="s">
        <v>617</v>
      </c>
      <c r="GW51" s="275" t="s">
        <v>429</v>
      </c>
      <c r="GX51" s="275" t="s">
        <v>429</v>
      </c>
      <c r="GY51" s="491">
        <v>41600000</v>
      </c>
      <c r="GZ51" s="491">
        <v>0</v>
      </c>
      <c r="HA51" s="491">
        <v>0</v>
      </c>
      <c r="HB51" s="305">
        <f t="shared" si="49"/>
        <v>41600</v>
      </c>
      <c r="HC51" s="305">
        <f t="shared" si="50"/>
        <v>0</v>
      </c>
      <c r="HD51" s="305">
        <f t="shared" si="51"/>
        <v>0</v>
      </c>
    </row>
    <row r="52" spans="26:212" x14ac:dyDescent="0.2">
      <c r="CN52" s="286" t="s">
        <v>434</v>
      </c>
      <c r="CO52" s="286" t="s">
        <v>127</v>
      </c>
      <c r="CP52" s="286" t="s">
        <v>429</v>
      </c>
      <c r="CQ52" s="286" t="s">
        <v>429</v>
      </c>
      <c r="CR52" s="287">
        <v>0</v>
      </c>
      <c r="CS52" s="287">
        <v>107104433</v>
      </c>
      <c r="CT52" s="287">
        <v>107104433</v>
      </c>
      <c r="CU52" s="287">
        <f t="shared" si="28"/>
        <v>0</v>
      </c>
      <c r="CV52" s="287">
        <f t="shared" si="29"/>
        <v>107104.433</v>
      </c>
      <c r="CW52" s="287">
        <f t="shared" si="30"/>
        <v>107104.433</v>
      </c>
      <c r="DF52" s="286" t="s">
        <v>434</v>
      </c>
      <c r="DG52" s="288" t="s">
        <v>127</v>
      </c>
      <c r="DH52" s="286" t="s">
        <v>429</v>
      </c>
      <c r="DI52" s="288" t="s">
        <v>429</v>
      </c>
      <c r="DJ52" s="287">
        <v>0</v>
      </c>
      <c r="DK52" s="287">
        <v>159772630</v>
      </c>
      <c r="DL52" s="287">
        <v>159772630</v>
      </c>
      <c r="DM52" s="371">
        <f t="shared" si="32"/>
        <v>0</v>
      </c>
      <c r="DN52" s="371">
        <f t="shared" si="33"/>
        <v>159772.63</v>
      </c>
      <c r="DO52" s="371">
        <f t="shared" si="34"/>
        <v>159772.63</v>
      </c>
      <c r="DX52" s="286" t="s">
        <v>434</v>
      </c>
      <c r="DY52" s="288" t="s">
        <v>127</v>
      </c>
      <c r="DZ52" s="286" t="s">
        <v>429</v>
      </c>
      <c r="EA52" s="288" t="s">
        <v>429</v>
      </c>
      <c r="EB52" s="287">
        <v>0</v>
      </c>
      <c r="EC52" s="287">
        <v>0</v>
      </c>
      <c r="ED52" s="287">
        <v>0</v>
      </c>
      <c r="EE52" s="287">
        <f t="shared" si="36"/>
        <v>0</v>
      </c>
      <c r="EF52" s="287">
        <f t="shared" si="37"/>
        <v>0</v>
      </c>
      <c r="EG52" s="287">
        <f t="shared" si="38"/>
        <v>0</v>
      </c>
      <c r="EQ52" s="286" t="s">
        <v>434</v>
      </c>
      <c r="ER52" s="288" t="s">
        <v>127</v>
      </c>
      <c r="ES52" s="286" t="s">
        <v>429</v>
      </c>
      <c r="ET52" s="286" t="s">
        <v>429</v>
      </c>
      <c r="EU52" s="287">
        <v>0</v>
      </c>
      <c r="EV52" s="287">
        <v>107104433</v>
      </c>
      <c r="EW52" s="287">
        <v>107104433</v>
      </c>
      <c r="EX52" s="376">
        <f t="shared" si="40"/>
        <v>0</v>
      </c>
      <c r="EY52" s="376">
        <f t="shared" si="41"/>
        <v>107104.433</v>
      </c>
      <c r="EZ52" s="376">
        <f t="shared" si="42"/>
        <v>107104.433</v>
      </c>
      <c r="FK52" s="297" t="s">
        <v>434</v>
      </c>
      <c r="FL52" s="297" t="s">
        <v>127</v>
      </c>
      <c r="FM52" s="297" t="s">
        <v>429</v>
      </c>
      <c r="FN52" s="297" t="s">
        <v>429</v>
      </c>
      <c r="FO52" s="372">
        <v>0</v>
      </c>
      <c r="FP52" s="372">
        <v>107104433</v>
      </c>
      <c r="FQ52" s="372">
        <v>107104433</v>
      </c>
      <c r="FR52" s="372">
        <f t="shared" si="43"/>
        <v>0</v>
      </c>
      <c r="FS52" s="372">
        <f t="shared" si="52"/>
        <v>107104.433</v>
      </c>
      <c r="FT52" s="372">
        <f t="shared" si="53"/>
        <v>107104.433</v>
      </c>
      <c r="GC52" s="275" t="s">
        <v>434</v>
      </c>
      <c r="GD52" s="275" t="s">
        <v>127</v>
      </c>
      <c r="GE52" s="275" t="s">
        <v>429</v>
      </c>
      <c r="GF52" s="275" t="s">
        <v>429</v>
      </c>
      <c r="GG52" s="372">
        <v>0</v>
      </c>
      <c r="GH52" s="372">
        <v>0</v>
      </c>
      <c r="GI52" s="372">
        <v>0</v>
      </c>
      <c r="GJ52" s="372">
        <f t="shared" si="45"/>
        <v>0</v>
      </c>
      <c r="GK52" s="372">
        <f t="shared" si="46"/>
        <v>0</v>
      </c>
      <c r="GL52" s="372">
        <f t="shared" si="47"/>
        <v>0</v>
      </c>
      <c r="GU52" s="275" t="s">
        <v>616</v>
      </c>
      <c r="GV52" s="275" t="s">
        <v>617</v>
      </c>
      <c r="GW52" s="275" t="s">
        <v>429</v>
      </c>
      <c r="GX52" s="275" t="s">
        <v>429</v>
      </c>
      <c r="GY52" s="491">
        <v>0</v>
      </c>
      <c r="GZ52" s="491">
        <v>41284336</v>
      </c>
      <c r="HA52" s="491">
        <v>41284336</v>
      </c>
      <c r="HB52" s="305">
        <f t="shared" si="49"/>
        <v>0</v>
      </c>
      <c r="HC52" s="305">
        <f t="shared" si="50"/>
        <v>41284.336000000003</v>
      </c>
      <c r="HD52" s="305">
        <f t="shared" si="51"/>
        <v>41284.336000000003</v>
      </c>
    </row>
    <row r="53" spans="26:212" x14ac:dyDescent="0.2">
      <c r="DX53" s="286" t="s">
        <v>434</v>
      </c>
      <c r="DY53" s="288" t="s">
        <v>127</v>
      </c>
      <c r="DZ53" s="286" t="s">
        <v>429</v>
      </c>
      <c r="EA53" s="288" t="s">
        <v>429</v>
      </c>
      <c r="EB53" s="287">
        <v>0</v>
      </c>
      <c r="EC53" s="287">
        <v>159772630</v>
      </c>
      <c r="ED53" s="287">
        <v>159772630</v>
      </c>
      <c r="EE53" s="287">
        <f t="shared" si="36"/>
        <v>0</v>
      </c>
      <c r="EF53" s="287">
        <f t="shared" si="37"/>
        <v>159772.63</v>
      </c>
      <c r="EG53" s="287">
        <f t="shared" si="38"/>
        <v>159772.63</v>
      </c>
      <c r="EQ53" s="286" t="s">
        <v>434</v>
      </c>
      <c r="ER53" s="288" t="s">
        <v>127</v>
      </c>
      <c r="ES53" s="286" t="s">
        <v>429</v>
      </c>
      <c r="ET53" s="286" t="s">
        <v>429</v>
      </c>
      <c r="EU53" s="287">
        <v>0</v>
      </c>
      <c r="EV53" s="287">
        <v>5995880</v>
      </c>
      <c r="EW53" s="287">
        <v>5995880</v>
      </c>
      <c r="EX53" s="376">
        <f t="shared" si="40"/>
        <v>0</v>
      </c>
      <c r="EY53" s="376">
        <f t="shared" si="41"/>
        <v>5995.88</v>
      </c>
      <c r="EZ53" s="376">
        <f t="shared" si="42"/>
        <v>5995.88</v>
      </c>
      <c r="FK53" s="297" t="s">
        <v>434</v>
      </c>
      <c r="FL53" s="297" t="s">
        <v>127</v>
      </c>
      <c r="FM53" s="297" t="s">
        <v>429</v>
      </c>
      <c r="FN53" s="297" t="s">
        <v>429</v>
      </c>
      <c r="FO53" s="372">
        <v>0</v>
      </c>
      <c r="FP53" s="372">
        <v>5995880</v>
      </c>
      <c r="FQ53" s="372">
        <v>5995880</v>
      </c>
      <c r="FR53" s="372">
        <f t="shared" si="43"/>
        <v>0</v>
      </c>
      <c r="FS53" s="372">
        <f t="shared" si="52"/>
        <v>5995.88</v>
      </c>
      <c r="FT53" s="372">
        <f t="shared" si="53"/>
        <v>5995.88</v>
      </c>
      <c r="GC53" s="275" t="s">
        <v>434</v>
      </c>
      <c r="GD53" s="275" t="s">
        <v>127</v>
      </c>
      <c r="GE53" s="275" t="s">
        <v>429</v>
      </c>
      <c r="GF53" s="275" t="s">
        <v>429</v>
      </c>
      <c r="GG53" s="372">
        <v>0</v>
      </c>
      <c r="GH53" s="372">
        <v>0</v>
      </c>
      <c r="GI53" s="372">
        <v>0</v>
      </c>
      <c r="GJ53" s="372">
        <f t="shared" si="45"/>
        <v>0</v>
      </c>
      <c r="GK53" s="372">
        <f t="shared" si="46"/>
        <v>0</v>
      </c>
      <c r="GL53" s="372">
        <f t="shared" si="47"/>
        <v>0</v>
      </c>
      <c r="GU53" s="275" t="s">
        <v>434</v>
      </c>
      <c r="GV53" s="275" t="s">
        <v>127</v>
      </c>
      <c r="GW53" s="275" t="s">
        <v>429</v>
      </c>
      <c r="GX53" s="275" t="s">
        <v>429</v>
      </c>
      <c r="GY53" s="491">
        <v>272873100</v>
      </c>
      <c r="GZ53" s="491">
        <v>0</v>
      </c>
      <c r="HA53" s="491">
        <v>0</v>
      </c>
      <c r="HB53" s="305">
        <f t="shared" si="49"/>
        <v>272873.09999999998</v>
      </c>
      <c r="HC53" s="305">
        <f t="shared" si="50"/>
        <v>0</v>
      </c>
      <c r="HD53" s="305">
        <f t="shared" si="51"/>
        <v>0</v>
      </c>
    </row>
    <row r="54" spans="26:212" x14ac:dyDescent="0.2">
      <c r="EX54" s="376">
        <f t="shared" si="40"/>
        <v>0</v>
      </c>
      <c r="EY54" s="376">
        <f t="shared" si="41"/>
        <v>0</v>
      </c>
      <c r="EZ54" s="376">
        <f t="shared" si="42"/>
        <v>0</v>
      </c>
      <c r="GC54" s="275" t="s">
        <v>434</v>
      </c>
      <c r="GD54" s="275" t="s">
        <v>127</v>
      </c>
      <c r="GE54" s="275" t="s">
        <v>429</v>
      </c>
      <c r="GF54" s="275" t="s">
        <v>429</v>
      </c>
      <c r="GG54" s="372">
        <v>0</v>
      </c>
      <c r="GH54" s="372">
        <v>107104433</v>
      </c>
      <c r="GI54" s="372">
        <v>107104433</v>
      </c>
      <c r="GJ54" s="372">
        <f t="shared" si="45"/>
        <v>0</v>
      </c>
      <c r="GK54" s="372">
        <f t="shared" si="46"/>
        <v>107104.433</v>
      </c>
      <c r="GL54" s="372">
        <f t="shared" si="47"/>
        <v>107104.433</v>
      </c>
      <c r="GU54" s="275" t="s">
        <v>434</v>
      </c>
      <c r="GV54" s="275" t="s">
        <v>127</v>
      </c>
      <c r="GW54" s="275" t="s">
        <v>429</v>
      </c>
      <c r="GX54" s="275" t="s">
        <v>429</v>
      </c>
      <c r="GY54" s="491">
        <v>0</v>
      </c>
      <c r="GZ54" s="491">
        <v>159772630</v>
      </c>
      <c r="HA54" s="491">
        <v>159772630</v>
      </c>
      <c r="HB54" s="305">
        <f t="shared" si="49"/>
        <v>0</v>
      </c>
      <c r="HC54" s="305">
        <f t="shared" si="50"/>
        <v>159772.63</v>
      </c>
      <c r="HD54" s="305">
        <f t="shared" si="51"/>
        <v>159772.63</v>
      </c>
    </row>
    <row r="55" spans="26:212" x14ac:dyDescent="0.2">
      <c r="GC55" s="275" t="s">
        <v>434</v>
      </c>
      <c r="GD55" s="275" t="s">
        <v>127</v>
      </c>
      <c r="GE55" s="275" t="s">
        <v>429</v>
      </c>
      <c r="GF55" s="275" t="s">
        <v>429</v>
      </c>
      <c r="GG55" s="372">
        <v>0</v>
      </c>
      <c r="GH55" s="372">
        <v>5995880</v>
      </c>
      <c r="GI55" s="372">
        <v>5995880</v>
      </c>
      <c r="GJ55" s="372">
        <f t="shared" si="45"/>
        <v>0</v>
      </c>
      <c r="GK55" s="372">
        <f t="shared" si="46"/>
        <v>5995.88</v>
      </c>
      <c r="GL55" s="372">
        <f t="shared" si="47"/>
        <v>5995.88</v>
      </c>
      <c r="GU55" s="275" t="s">
        <v>434</v>
      </c>
      <c r="GV55" s="275" t="s">
        <v>127</v>
      </c>
      <c r="GW55" s="275" t="s">
        <v>429</v>
      </c>
      <c r="GX55" s="275" t="s">
        <v>429</v>
      </c>
      <c r="GY55" s="491">
        <v>0</v>
      </c>
      <c r="GZ55" s="491">
        <v>0</v>
      </c>
      <c r="HA55" s="491">
        <v>0</v>
      </c>
      <c r="HB55" s="305">
        <f t="shared" si="49"/>
        <v>0</v>
      </c>
      <c r="HC55" s="305">
        <f t="shared" si="50"/>
        <v>0</v>
      </c>
      <c r="HD55" s="305">
        <f t="shared" si="51"/>
        <v>0</v>
      </c>
    </row>
    <row r="56" spans="26:212" x14ac:dyDescent="0.2">
      <c r="GU56" s="275" t="s">
        <v>434</v>
      </c>
      <c r="GV56" s="275" t="s">
        <v>127</v>
      </c>
      <c r="GW56" s="275" t="s">
        <v>429</v>
      </c>
      <c r="GX56" s="275" t="s">
        <v>429</v>
      </c>
      <c r="GY56" s="491">
        <v>0</v>
      </c>
      <c r="GZ56" s="491">
        <v>0</v>
      </c>
      <c r="HA56" s="491">
        <v>0</v>
      </c>
      <c r="HB56" s="305">
        <f t="shared" si="49"/>
        <v>0</v>
      </c>
      <c r="HC56" s="305">
        <f t="shared" si="50"/>
        <v>0</v>
      </c>
      <c r="HD56" s="305">
        <f t="shared" si="51"/>
        <v>0</v>
      </c>
    </row>
    <row r="57" spans="26:212" x14ac:dyDescent="0.2">
      <c r="GU57" s="275" t="s">
        <v>434</v>
      </c>
      <c r="GV57" s="275" t="s">
        <v>127</v>
      </c>
      <c r="GW57" s="275" t="s">
        <v>429</v>
      </c>
      <c r="GX57" s="275" t="s">
        <v>429</v>
      </c>
      <c r="GY57" s="491">
        <v>0</v>
      </c>
      <c r="GZ57" s="491">
        <v>107104433</v>
      </c>
      <c r="HA57" s="491">
        <v>107104433</v>
      </c>
      <c r="HB57" s="305">
        <f t="shared" si="49"/>
        <v>0</v>
      </c>
      <c r="HC57" s="305">
        <f t="shared" si="50"/>
        <v>107104.433</v>
      </c>
      <c r="HD57" s="305">
        <f t="shared" si="51"/>
        <v>107104.433</v>
      </c>
    </row>
    <row r="58" spans="26:212" x14ac:dyDescent="0.2">
      <c r="GU58" s="275" t="s">
        <v>434</v>
      </c>
      <c r="GV58" s="275" t="s">
        <v>127</v>
      </c>
      <c r="GW58" s="275" t="s">
        <v>429</v>
      </c>
      <c r="GX58" s="275" t="s">
        <v>429</v>
      </c>
      <c r="GY58" s="491">
        <v>0</v>
      </c>
      <c r="GZ58" s="491">
        <v>5995880</v>
      </c>
      <c r="HA58" s="491">
        <v>5995880</v>
      </c>
      <c r="HB58" s="305">
        <f t="shared" si="49"/>
        <v>0</v>
      </c>
      <c r="HC58" s="305">
        <f t="shared" si="50"/>
        <v>5995.88</v>
      </c>
      <c r="HD58" s="305">
        <f t="shared" si="51"/>
        <v>5995.88</v>
      </c>
    </row>
  </sheetData>
  <autoFilter ref="A2:J43" xr:uid="{00000000-0009-0000-0000-000007000000}"/>
  <mergeCells count="23">
    <mergeCell ref="A1:G1"/>
    <mergeCell ref="AD1:AG1"/>
    <mergeCell ref="AK1:AR1"/>
    <mergeCell ref="BN1:BQ1"/>
    <mergeCell ref="BV1:CB1"/>
    <mergeCell ref="AV1:AY1"/>
    <mergeCell ref="BC1:BI1"/>
    <mergeCell ref="L1:O1"/>
    <mergeCell ref="S1:Z1"/>
    <mergeCell ref="CG1:CJ1"/>
    <mergeCell ref="GN1:GQ1"/>
    <mergeCell ref="GU1:HA1"/>
    <mergeCell ref="EI1:EM1"/>
    <mergeCell ref="EQ1:EX1"/>
    <mergeCell ref="DQ1:DU1"/>
    <mergeCell ref="DX1:ED1"/>
    <mergeCell ref="CN1:CU1"/>
    <mergeCell ref="CY1:DC1"/>
    <mergeCell ref="FV1:FY1"/>
    <mergeCell ref="GC1:GI1"/>
    <mergeCell ref="FB1:FE1"/>
    <mergeCell ref="FK1:FQ1"/>
    <mergeCell ref="DF1:DM1"/>
  </mergeCells>
  <pageMargins left="0.7" right="0.7" top="0.75" bottom="0.75" header="0.3" footer="0.3"/>
  <pageSetup paperSize="9" orientation="portrait" horizontalDpi="0" verticalDpi="0" r:id="rId1"/>
  <ignoredErrors>
    <ignoredError sqref="FB3:FD5 FK3:FM53 FB8:FD8 FB7:FD7 FB6:FD6 FB9:FD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F568-FD42-4F10-A3B1-7DE2FB9E5DB1}">
  <dimension ref="A1:V6"/>
  <sheetViews>
    <sheetView topLeftCell="H1" workbookViewId="0">
      <selection activeCell="N14" sqref="N14"/>
    </sheetView>
  </sheetViews>
  <sheetFormatPr baseColWidth="10" defaultColWidth="11.5703125" defaultRowHeight="13.5" x14ac:dyDescent="0.25"/>
  <cols>
    <col min="1" max="1" width="0" style="592" hidden="1" customWidth="1"/>
    <col min="2" max="2" width="31.42578125" style="592" hidden="1" customWidth="1"/>
    <col min="3" max="3" width="14.140625" style="592" hidden="1" customWidth="1"/>
    <col min="4" max="4" width="13" style="592" hidden="1" customWidth="1"/>
    <col min="5" max="5" width="10.42578125" style="592" hidden="1" customWidth="1"/>
    <col min="6" max="6" width="16.5703125" style="592" hidden="1" customWidth="1"/>
    <col min="7" max="7" width="6.5703125" style="592" hidden="1" customWidth="1"/>
    <col min="8" max="9" width="11.5703125" style="592"/>
    <col min="10" max="10" width="31.42578125" style="592" bestFit="1" customWidth="1"/>
    <col min="11" max="11" width="10.140625" style="592" bestFit="1" customWidth="1"/>
    <col min="12" max="12" width="13.42578125" style="592" bestFit="1" customWidth="1"/>
    <col min="13" max="13" width="10.42578125" style="592" bestFit="1" customWidth="1"/>
    <col min="14" max="15" width="11.5703125" style="592"/>
    <col min="16" max="16" width="28.7109375" style="592" customWidth="1"/>
    <col min="17" max="19" width="0" style="592" hidden="1" customWidth="1"/>
    <col min="20" max="16384" width="11.5703125" style="592"/>
  </cols>
  <sheetData>
    <row r="1" spans="1:22" x14ac:dyDescent="0.25">
      <c r="A1" s="1307" t="s">
        <v>1032</v>
      </c>
      <c r="B1" s="1307"/>
      <c r="C1" s="1307"/>
      <c r="D1" s="1307"/>
      <c r="E1" s="1307"/>
      <c r="F1" s="1065">
        <v>1000</v>
      </c>
      <c r="G1" s="1065">
        <v>1</v>
      </c>
      <c r="I1" s="1308" t="s">
        <v>136</v>
      </c>
      <c r="J1" s="1308"/>
      <c r="K1" s="1308"/>
      <c r="L1" s="1308"/>
      <c r="M1" s="1308"/>
      <c r="O1" s="1308" t="s">
        <v>1068</v>
      </c>
      <c r="P1" s="1308"/>
      <c r="Q1" s="1308"/>
      <c r="R1" s="1308"/>
      <c r="S1" s="1308"/>
      <c r="T1" s="1308"/>
      <c r="U1" s="1069">
        <v>1000</v>
      </c>
      <c r="V1" s="1069">
        <v>1</v>
      </c>
    </row>
    <row r="2" spans="1:22" s="1067" customFormat="1" ht="27" x14ac:dyDescent="0.25">
      <c r="A2" s="542" t="s">
        <v>410</v>
      </c>
      <c r="B2" s="542" t="s">
        <v>435</v>
      </c>
      <c r="C2" s="542" t="s">
        <v>447</v>
      </c>
      <c r="D2" s="542" t="s">
        <v>466</v>
      </c>
      <c r="E2" s="542" t="s">
        <v>413</v>
      </c>
      <c r="F2" s="542" t="s">
        <v>924</v>
      </c>
      <c r="G2" s="1064"/>
      <c r="I2" s="1066" t="s">
        <v>410</v>
      </c>
      <c r="J2" s="1066" t="s">
        <v>435</v>
      </c>
      <c r="K2" s="1066" t="s">
        <v>411</v>
      </c>
      <c r="L2" s="1066" t="s">
        <v>505</v>
      </c>
      <c r="M2" s="1066" t="s">
        <v>413</v>
      </c>
      <c r="O2" s="1066" t="s">
        <v>410</v>
      </c>
      <c r="P2" s="1066" t="s">
        <v>435</v>
      </c>
      <c r="Q2" s="1066" t="s">
        <v>447</v>
      </c>
      <c r="R2" s="1066" t="s">
        <v>466</v>
      </c>
      <c r="S2" s="1066" t="s">
        <v>413</v>
      </c>
      <c r="T2" s="1066" t="s">
        <v>924</v>
      </c>
      <c r="U2" s="1066" t="s">
        <v>930</v>
      </c>
      <c r="V2" s="1066" t="s">
        <v>929</v>
      </c>
    </row>
    <row r="3" spans="1:22" ht="15" customHeight="1" x14ac:dyDescent="0.25">
      <c r="A3" s="543" t="s">
        <v>465</v>
      </c>
      <c r="B3" s="543" t="s">
        <v>243</v>
      </c>
      <c r="C3" s="545">
        <v>82544640000</v>
      </c>
      <c r="D3" s="545">
        <v>0</v>
      </c>
      <c r="E3" s="545">
        <v>0</v>
      </c>
      <c r="F3" s="545">
        <f>+C3/$F$1*$G$1</f>
        <v>82544640</v>
      </c>
      <c r="I3" s="1041" t="s">
        <v>465</v>
      </c>
      <c r="J3" s="1041" t="s">
        <v>243</v>
      </c>
      <c r="K3" s="1041" t="s">
        <v>429</v>
      </c>
      <c r="L3" s="1041" t="s">
        <v>429</v>
      </c>
      <c r="M3" s="1042">
        <v>0</v>
      </c>
      <c r="O3" s="1041" t="s">
        <v>465</v>
      </c>
      <c r="P3" s="1043" t="s">
        <v>243</v>
      </c>
      <c r="Q3" s="1042">
        <v>41272320000</v>
      </c>
      <c r="R3" s="1042">
        <v>0</v>
      </c>
      <c r="S3" s="1042">
        <v>0</v>
      </c>
      <c r="T3" s="1068">
        <f>+Q3/$U$1*$V$1</f>
        <v>41272320</v>
      </c>
      <c r="U3" s="1068">
        <f t="shared" ref="U3:V3" si="0">+R3/$U$1*$V$1</f>
        <v>0</v>
      </c>
      <c r="V3" s="1068">
        <f t="shared" si="0"/>
        <v>0</v>
      </c>
    </row>
    <row r="4" spans="1:22" ht="15" customHeight="1" x14ac:dyDescent="0.25">
      <c r="A4" s="543" t="s">
        <v>636</v>
      </c>
      <c r="B4" s="543" t="s">
        <v>637</v>
      </c>
      <c r="C4" s="545">
        <v>14820325000</v>
      </c>
      <c r="D4" s="545">
        <v>0</v>
      </c>
      <c r="E4" s="545">
        <v>0</v>
      </c>
      <c r="F4" s="545">
        <f t="shared" ref="F4:F6" si="1">+C4/$F$1*$G$1</f>
        <v>14820325</v>
      </c>
      <c r="O4" s="1041" t="s">
        <v>636</v>
      </c>
      <c r="P4" s="1043" t="s">
        <v>637</v>
      </c>
      <c r="Q4" s="1042">
        <v>14820325000</v>
      </c>
      <c r="R4" s="1042">
        <v>0</v>
      </c>
      <c r="S4" s="1042">
        <v>0</v>
      </c>
      <c r="T4" s="1068">
        <f t="shared" ref="T4:T6" si="2">+Q4/$U$1*$V$1</f>
        <v>14820325</v>
      </c>
      <c r="U4" s="1068">
        <f t="shared" ref="U4:U6" si="3">+R4/$U$1*$V$1</f>
        <v>0</v>
      </c>
      <c r="V4" s="1068">
        <f t="shared" ref="V4:V6" si="4">+S4/$U$1*$V$1</f>
        <v>0</v>
      </c>
    </row>
    <row r="5" spans="1:22" ht="15" customHeight="1" x14ac:dyDescent="0.25">
      <c r="A5" s="543" t="s">
        <v>434</v>
      </c>
      <c r="B5" s="543" t="s">
        <v>127</v>
      </c>
      <c r="C5" s="545">
        <v>100</v>
      </c>
      <c r="D5" s="545">
        <v>0</v>
      </c>
      <c r="E5" s="545">
        <v>0</v>
      </c>
      <c r="F5" s="545">
        <f t="shared" si="1"/>
        <v>0.1</v>
      </c>
      <c r="O5" s="1041" t="s">
        <v>434</v>
      </c>
      <c r="P5" s="1043" t="s">
        <v>127</v>
      </c>
      <c r="Q5" s="1042">
        <v>100</v>
      </c>
      <c r="R5" s="1042">
        <v>0</v>
      </c>
      <c r="S5" s="1042">
        <v>0</v>
      </c>
      <c r="T5" s="1068">
        <f t="shared" si="2"/>
        <v>0.1</v>
      </c>
      <c r="U5" s="1068">
        <f t="shared" si="3"/>
        <v>0</v>
      </c>
      <c r="V5" s="1068">
        <f t="shared" si="4"/>
        <v>0</v>
      </c>
    </row>
    <row r="6" spans="1:22" ht="15" customHeight="1" x14ac:dyDescent="0.25">
      <c r="A6" s="543" t="s">
        <v>1044</v>
      </c>
      <c r="B6" s="543" t="s">
        <v>124</v>
      </c>
      <c r="C6" s="545">
        <v>200</v>
      </c>
      <c r="D6" s="545">
        <v>0</v>
      </c>
      <c r="E6" s="545">
        <v>0</v>
      </c>
      <c r="F6" s="545">
        <f t="shared" si="1"/>
        <v>0.2</v>
      </c>
      <c r="O6" s="1041" t="s">
        <v>1044</v>
      </c>
      <c r="P6" s="1043" t="s">
        <v>124</v>
      </c>
      <c r="Q6" s="1042">
        <v>200</v>
      </c>
      <c r="R6" s="1042">
        <v>0</v>
      </c>
      <c r="S6" s="1042">
        <v>0</v>
      </c>
      <c r="T6" s="1068">
        <f t="shared" si="2"/>
        <v>0.2</v>
      </c>
      <c r="U6" s="1068">
        <f t="shared" si="3"/>
        <v>0</v>
      </c>
      <c r="V6" s="1068">
        <f t="shared" si="4"/>
        <v>0</v>
      </c>
    </row>
  </sheetData>
  <mergeCells count="3">
    <mergeCell ref="A1:E1"/>
    <mergeCell ref="I1:M1"/>
    <mergeCell ref="O1:T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5DFDD"/>
  </sheetPr>
  <dimension ref="A1:EU9"/>
  <sheetViews>
    <sheetView showGridLines="0" topLeftCell="I1" workbookViewId="0">
      <selection activeCell="U5" sqref="P5:U6"/>
    </sheetView>
  </sheetViews>
  <sheetFormatPr baseColWidth="10" defaultColWidth="11.42578125" defaultRowHeight="12" x14ac:dyDescent="0.2"/>
  <cols>
    <col min="1" max="1" width="21.7109375" style="280" hidden="1" customWidth="1"/>
    <col min="2" max="2" width="40.7109375" style="280" hidden="1" customWidth="1"/>
    <col min="3" max="3" width="12.140625" style="280" hidden="1" customWidth="1"/>
    <col min="4" max="5" width="11.28515625" style="280" hidden="1" customWidth="1"/>
    <col min="6" max="6" width="12" style="280" hidden="1" customWidth="1"/>
    <col min="7" max="7" width="10.7109375" style="280" hidden="1" customWidth="1"/>
    <col min="8" max="8" width="9.42578125" style="280" hidden="1" customWidth="1"/>
    <col min="9" max="9" width="11.42578125" style="280"/>
    <col min="10" max="13" width="11.42578125" style="280" customWidth="1"/>
    <col min="14" max="14" width="11.7109375" style="280" customWidth="1"/>
    <col min="15" max="15" width="6.28515625" style="280" customWidth="1"/>
    <col min="16" max="16" width="11.42578125" style="280" customWidth="1"/>
    <col min="17" max="17" width="34.42578125" style="289" customWidth="1"/>
    <col min="18" max="20" width="11.42578125" style="280" hidden="1" customWidth="1"/>
    <col min="21" max="23" width="11.7109375" style="280" customWidth="1"/>
    <col min="24" max="24" width="11.42578125" style="280" customWidth="1"/>
    <col min="25" max="26" width="11.42578125" style="280" hidden="1" customWidth="1"/>
    <col min="27" max="27" width="11.7109375" style="280" hidden="1" customWidth="1"/>
    <col min="28" max="30" width="11.5703125" style="280" hidden="1" customWidth="1"/>
    <col min="31" max="36" width="11.42578125" style="280" hidden="1" customWidth="1"/>
    <col min="37" max="39" width="11.5703125" style="280" hidden="1" customWidth="1"/>
    <col min="40" max="42" width="11.42578125" style="280" hidden="1" customWidth="1"/>
    <col min="43" max="43" width="11.5703125" style="280" hidden="1" customWidth="1"/>
    <col min="44" max="45" width="11.42578125" style="280" hidden="1" customWidth="1"/>
    <col min="46" max="46" width="28.140625" style="280" hidden="1" customWidth="1"/>
    <col min="47" max="49" width="11.42578125" style="280" hidden="1" customWidth="1"/>
    <col min="50" max="52" width="11.5703125" style="280" hidden="1" customWidth="1"/>
    <col min="53" max="55" width="11.42578125" style="280" hidden="1" customWidth="1"/>
    <col min="56" max="56" width="11.5703125" style="280" hidden="1" customWidth="1"/>
    <col min="57" max="62" width="11.42578125" style="280" hidden="1" customWidth="1"/>
    <col min="63" max="65" width="11.5703125" style="280" hidden="1" customWidth="1"/>
    <col min="66" max="71" width="11.42578125" style="280" hidden="1" customWidth="1"/>
    <col min="72" max="72" width="35.7109375" style="289" hidden="1" customWidth="1"/>
    <col min="73" max="75" width="11.42578125" style="280" hidden="1" customWidth="1"/>
    <col min="76" max="78" width="11.5703125" style="280" hidden="1" customWidth="1"/>
    <col min="79" max="84" width="11.42578125" style="280" hidden="1" customWidth="1"/>
    <col min="85" max="86" width="21" style="280" hidden="1" customWidth="1"/>
    <col min="87" max="89" width="11.42578125" style="280" hidden="1" customWidth="1"/>
    <col min="90" max="92" width="11.5703125" style="280" hidden="1" customWidth="1"/>
    <col min="93" max="98" width="11.42578125" style="280" hidden="1" customWidth="1"/>
    <col min="99" max="99" width="20.28515625" style="280" hidden="1" customWidth="1"/>
    <col min="100" max="111" width="11.42578125" style="280" hidden="1" customWidth="1"/>
    <col min="112" max="112" width="28.7109375" style="280" hidden="1" customWidth="1"/>
    <col min="113" max="120" width="11.42578125" style="280" hidden="1" customWidth="1"/>
    <col min="121" max="121" width="8.140625" style="280" hidden="1" customWidth="1"/>
    <col min="122" max="122" width="40.140625" style="280" hidden="1" customWidth="1"/>
    <col min="123" max="123" width="12.85546875" style="280" hidden="1" customWidth="1"/>
    <col min="124" max="125" width="11.7109375" style="280" hidden="1" customWidth="1"/>
    <col min="126" max="130" width="11.42578125" style="280" hidden="1" customWidth="1"/>
    <col min="131" max="131" width="31.140625" style="301" hidden="1" customWidth="1"/>
    <col min="132" max="134" width="11.42578125" style="280" hidden="1" customWidth="1"/>
    <col min="135" max="137" width="11.42578125" style="293" hidden="1" customWidth="1"/>
    <col min="138" max="144" width="11.42578125" style="280" hidden="1" customWidth="1"/>
    <col min="145" max="145" width="22.7109375" style="280" hidden="1" customWidth="1"/>
    <col min="146" max="151" width="11.42578125" style="280" hidden="1" customWidth="1"/>
    <col min="152" max="16384" width="11.42578125" style="280"/>
  </cols>
  <sheetData>
    <row r="1" spans="1:151" x14ac:dyDescent="0.2">
      <c r="A1" s="1309" t="s">
        <v>903</v>
      </c>
      <c r="B1" s="1309"/>
      <c r="C1" s="1309"/>
      <c r="D1" s="1309"/>
      <c r="E1" s="1309"/>
      <c r="F1" s="280">
        <v>1000</v>
      </c>
      <c r="G1" s="280">
        <v>1.042</v>
      </c>
      <c r="J1" s="1310" t="s">
        <v>910</v>
      </c>
      <c r="K1" s="1310"/>
      <c r="L1" s="1310"/>
      <c r="M1" s="1310"/>
      <c r="N1" s="1310"/>
      <c r="P1" s="1309" t="s">
        <v>909</v>
      </c>
      <c r="Q1" s="1309"/>
      <c r="R1" s="1309"/>
      <c r="S1" s="1309"/>
      <c r="T1" s="1309"/>
      <c r="U1" s="1309"/>
      <c r="V1" s="280">
        <v>1000</v>
      </c>
      <c r="W1" s="280">
        <v>1.042</v>
      </c>
      <c r="Y1" s="1309" t="s">
        <v>923</v>
      </c>
      <c r="Z1" s="1309"/>
      <c r="AA1" s="1309"/>
      <c r="AB1" s="1309"/>
      <c r="AC1" s="280">
        <v>1000</v>
      </c>
      <c r="AD1" s="280">
        <v>1</v>
      </c>
      <c r="AF1" s="1309" t="s">
        <v>836</v>
      </c>
      <c r="AG1" s="1309"/>
      <c r="AH1" s="1309"/>
      <c r="AI1" s="1309"/>
      <c r="AJ1" s="1309"/>
      <c r="AK1" s="1309"/>
      <c r="AL1" s="280">
        <v>1000</v>
      </c>
      <c r="AM1" s="280">
        <v>1</v>
      </c>
      <c r="AO1" s="1309" t="s">
        <v>7</v>
      </c>
      <c r="AP1" s="1309"/>
      <c r="AQ1" s="1309"/>
      <c r="AS1" s="1309" t="s">
        <v>931</v>
      </c>
      <c r="AT1" s="1309"/>
      <c r="AU1" s="1309"/>
      <c r="AV1" s="1309"/>
      <c r="AW1" s="1309"/>
      <c r="AX1" s="280">
        <v>1000</v>
      </c>
      <c r="AY1" s="280">
        <v>1</v>
      </c>
      <c r="BB1" s="1309" t="s">
        <v>8</v>
      </c>
      <c r="BC1" s="1309"/>
      <c r="BD1" s="1309"/>
      <c r="BF1" s="1309" t="s">
        <v>843</v>
      </c>
      <c r="BG1" s="1309"/>
      <c r="BH1" s="1309"/>
      <c r="BI1" s="1309"/>
      <c r="BJ1" s="1309"/>
      <c r="BK1" s="1309"/>
      <c r="BL1" s="280">
        <v>1000</v>
      </c>
      <c r="BM1" s="280">
        <v>1</v>
      </c>
      <c r="BO1" s="1309" t="s">
        <v>9</v>
      </c>
      <c r="BP1" s="1309"/>
      <c r="BQ1" s="1309"/>
      <c r="BS1" s="1309" t="s">
        <v>853</v>
      </c>
      <c r="BT1" s="1309"/>
      <c r="BU1" s="1309"/>
      <c r="BV1" s="1309"/>
      <c r="BW1" s="1309"/>
      <c r="BX1" s="280">
        <v>1000</v>
      </c>
      <c r="BY1" s="280">
        <v>1</v>
      </c>
      <c r="BZ1" s="500"/>
      <c r="CC1" s="1309" t="s">
        <v>79</v>
      </c>
      <c r="CD1" s="1309"/>
      <c r="CE1" s="1309"/>
      <c r="CG1" s="1309" t="s">
        <v>741</v>
      </c>
      <c r="CH1" s="1309"/>
      <c r="CI1" s="1309"/>
      <c r="CJ1" s="1309"/>
      <c r="CK1" s="1309"/>
      <c r="CL1" s="1309"/>
      <c r="CM1" s="280">
        <v>1000</v>
      </c>
      <c r="CN1" s="280">
        <v>1</v>
      </c>
      <c r="CP1" s="1309" t="s">
        <v>10</v>
      </c>
      <c r="CQ1" s="1309"/>
      <c r="CR1" s="1309"/>
      <c r="CT1" s="1309" t="s">
        <v>742</v>
      </c>
      <c r="CU1" s="1309"/>
      <c r="CV1" s="1309"/>
      <c r="CW1" s="1309"/>
      <c r="CX1" s="1309"/>
      <c r="CY1" s="280">
        <v>1000</v>
      </c>
      <c r="CZ1" s="280">
        <v>1</v>
      </c>
      <c r="DC1" s="1309" t="s">
        <v>11</v>
      </c>
      <c r="DD1" s="1309"/>
      <c r="DE1" s="1309"/>
      <c r="DG1" s="1309" t="s">
        <v>865</v>
      </c>
      <c r="DH1" s="1309"/>
      <c r="DI1" s="1309"/>
      <c r="DJ1" s="1309"/>
      <c r="DK1" s="1309"/>
      <c r="DL1" s="1309"/>
      <c r="DM1" s="280">
        <v>1000</v>
      </c>
      <c r="DN1" s="280">
        <v>1</v>
      </c>
      <c r="DQ1" s="1312" t="s">
        <v>983</v>
      </c>
      <c r="DR1" s="1312"/>
      <c r="DW1" s="280">
        <v>1000</v>
      </c>
      <c r="DX1" s="280">
        <v>1</v>
      </c>
      <c r="DZ1" s="1309" t="s">
        <v>763</v>
      </c>
      <c r="EA1" s="1309"/>
      <c r="EB1" s="1309"/>
      <c r="EC1" s="1309"/>
      <c r="ED1" s="1309"/>
      <c r="EE1" s="293">
        <v>1000</v>
      </c>
      <c r="EF1" s="293">
        <v>1</v>
      </c>
      <c r="EJ1" s="280" t="s">
        <v>14</v>
      </c>
      <c r="EK1" s="280">
        <v>1000</v>
      </c>
      <c r="EL1" s="280">
        <v>1</v>
      </c>
      <c r="EN1" s="1309" t="s">
        <v>1003</v>
      </c>
      <c r="EO1" s="1309"/>
      <c r="EP1" s="1309"/>
      <c r="EQ1" s="1309"/>
      <c r="ER1" s="280">
        <v>1000</v>
      </c>
      <c r="ES1" s="280">
        <v>1</v>
      </c>
    </row>
    <row r="2" spans="1:151" s="505" customFormat="1" ht="24" customHeight="1" x14ac:dyDescent="0.2">
      <c r="A2" s="504" t="s">
        <v>410</v>
      </c>
      <c r="B2" s="504" t="s">
        <v>435</v>
      </c>
      <c r="C2" s="504" t="s">
        <v>447</v>
      </c>
      <c r="D2" s="504" t="s">
        <v>466</v>
      </c>
      <c r="E2" s="504" t="s">
        <v>413</v>
      </c>
      <c r="F2" s="504" t="s">
        <v>447</v>
      </c>
      <c r="G2" s="504" t="s">
        <v>466</v>
      </c>
      <c r="H2" s="504" t="s">
        <v>413</v>
      </c>
      <c r="J2" s="504" t="s">
        <v>410</v>
      </c>
      <c r="K2" s="504" t="s">
        <v>435</v>
      </c>
      <c r="L2" s="504" t="s">
        <v>411</v>
      </c>
      <c r="M2" s="504" t="s">
        <v>505</v>
      </c>
      <c r="N2" s="504" t="s">
        <v>413</v>
      </c>
      <c r="P2" s="504" t="s">
        <v>410</v>
      </c>
      <c r="Q2" s="504" t="s">
        <v>435</v>
      </c>
      <c r="R2" s="504" t="s">
        <v>447</v>
      </c>
      <c r="S2" s="504" t="s">
        <v>466</v>
      </c>
      <c r="T2" s="504" t="s">
        <v>413</v>
      </c>
      <c r="U2" s="504" t="s">
        <v>924</v>
      </c>
      <c r="V2" s="504" t="s">
        <v>930</v>
      </c>
      <c r="W2" s="504" t="s">
        <v>929</v>
      </c>
      <c r="Y2" s="504" t="s">
        <v>410</v>
      </c>
      <c r="Z2" s="504" t="s">
        <v>435</v>
      </c>
      <c r="AA2" s="504" t="s">
        <v>447</v>
      </c>
      <c r="AB2" s="504" t="s">
        <v>466</v>
      </c>
      <c r="AC2" s="504" t="s">
        <v>413</v>
      </c>
      <c r="AD2" s="504" t="s">
        <v>413</v>
      </c>
      <c r="AF2" s="504" t="s">
        <v>410</v>
      </c>
      <c r="AG2" s="504" t="s">
        <v>435</v>
      </c>
      <c r="AH2" s="504" t="s">
        <v>447</v>
      </c>
      <c r="AI2" s="504" t="s">
        <v>466</v>
      </c>
      <c r="AJ2" s="504" t="s">
        <v>413</v>
      </c>
      <c r="AK2" s="504" t="s">
        <v>924</v>
      </c>
      <c r="AL2" s="504" t="s">
        <v>466</v>
      </c>
      <c r="AM2" s="504" t="s">
        <v>413</v>
      </c>
      <c r="AO2" s="504" t="s">
        <v>410</v>
      </c>
      <c r="AP2" s="504" t="s">
        <v>435</v>
      </c>
      <c r="AQ2" s="504" t="s">
        <v>413</v>
      </c>
      <c r="AS2" s="504" t="s">
        <v>410</v>
      </c>
      <c r="AT2" s="504" t="s">
        <v>435</v>
      </c>
      <c r="AU2" s="504" t="s">
        <v>447</v>
      </c>
      <c r="AV2" s="504" t="s">
        <v>466</v>
      </c>
      <c r="AW2" s="504" t="s">
        <v>413</v>
      </c>
      <c r="AX2" s="504" t="s">
        <v>924</v>
      </c>
      <c r="AY2" s="504" t="s">
        <v>930</v>
      </c>
      <c r="AZ2" s="504" t="s">
        <v>929</v>
      </c>
      <c r="BB2" s="504" t="s">
        <v>410</v>
      </c>
      <c r="BC2" s="504" t="s">
        <v>435</v>
      </c>
      <c r="BD2" s="504" t="s">
        <v>413</v>
      </c>
      <c r="BF2" s="504" t="s">
        <v>410</v>
      </c>
      <c r="BG2" s="504" t="s">
        <v>435</v>
      </c>
      <c r="BH2" s="504" t="s">
        <v>447</v>
      </c>
      <c r="BI2" s="504" t="s">
        <v>466</v>
      </c>
      <c r="BJ2" s="504" t="s">
        <v>413</v>
      </c>
      <c r="BK2" s="504" t="s">
        <v>924</v>
      </c>
      <c r="BL2" s="504" t="s">
        <v>930</v>
      </c>
      <c r="BM2" s="504" t="s">
        <v>929</v>
      </c>
      <c r="BO2" s="1311" t="s">
        <v>942</v>
      </c>
      <c r="BP2" s="1311"/>
      <c r="BQ2" s="1311"/>
      <c r="BS2" s="504" t="s">
        <v>410</v>
      </c>
      <c r="BT2" s="504" t="s">
        <v>435</v>
      </c>
      <c r="BU2" s="504" t="s">
        <v>447</v>
      </c>
      <c r="BV2" s="504" t="s">
        <v>466</v>
      </c>
      <c r="BW2" s="504" t="s">
        <v>413</v>
      </c>
      <c r="BX2" s="504" t="s">
        <v>924</v>
      </c>
      <c r="BY2" s="504" t="s">
        <v>930</v>
      </c>
      <c r="BZ2" s="504" t="s">
        <v>929</v>
      </c>
      <c r="CC2" s="1311" t="s">
        <v>942</v>
      </c>
      <c r="CD2" s="1311"/>
      <c r="CE2" s="1311"/>
      <c r="CG2" s="504" t="s">
        <v>410</v>
      </c>
      <c r="CH2" s="504" t="s">
        <v>435</v>
      </c>
      <c r="CI2" s="504" t="s">
        <v>447</v>
      </c>
      <c r="CJ2" s="504" t="s">
        <v>466</v>
      </c>
      <c r="CK2" s="504" t="s">
        <v>413</v>
      </c>
      <c r="CL2" s="504" t="s">
        <v>924</v>
      </c>
      <c r="CM2" s="504" t="s">
        <v>930</v>
      </c>
      <c r="CN2" s="504" t="s">
        <v>929</v>
      </c>
      <c r="CP2" s="1311" t="s">
        <v>942</v>
      </c>
      <c r="CQ2" s="1311"/>
      <c r="CR2" s="1311"/>
      <c r="CT2" s="504" t="s">
        <v>410</v>
      </c>
      <c r="CU2" s="504" t="s">
        <v>435</v>
      </c>
      <c r="CV2" s="504" t="s">
        <v>447</v>
      </c>
      <c r="CW2" s="504" t="s">
        <v>466</v>
      </c>
      <c r="CX2" s="504" t="s">
        <v>413</v>
      </c>
      <c r="CY2" s="504" t="s">
        <v>924</v>
      </c>
      <c r="CZ2" s="504" t="s">
        <v>930</v>
      </c>
      <c r="DA2" s="504" t="s">
        <v>929</v>
      </c>
      <c r="DC2" s="506" t="s">
        <v>410</v>
      </c>
      <c r="DD2" s="506" t="s">
        <v>435</v>
      </c>
      <c r="DE2" s="506" t="s">
        <v>413</v>
      </c>
      <c r="DG2" s="506" t="s">
        <v>410</v>
      </c>
      <c r="DH2" s="506" t="s">
        <v>435</v>
      </c>
      <c r="DI2" s="506" t="s">
        <v>447</v>
      </c>
      <c r="DJ2" s="506" t="s">
        <v>466</v>
      </c>
      <c r="DK2" s="506" t="s">
        <v>413</v>
      </c>
      <c r="DL2" s="506" t="s">
        <v>924</v>
      </c>
      <c r="DM2" s="506" t="s">
        <v>930</v>
      </c>
      <c r="DN2" s="506" t="s">
        <v>929</v>
      </c>
      <c r="DQ2" s="506" t="s">
        <v>410</v>
      </c>
      <c r="DR2" s="506" t="s">
        <v>435</v>
      </c>
      <c r="DS2" s="506" t="s">
        <v>447</v>
      </c>
      <c r="DT2" s="506" t="s">
        <v>466</v>
      </c>
      <c r="DU2" s="506" t="s">
        <v>413</v>
      </c>
      <c r="DV2" s="506" t="s">
        <v>447</v>
      </c>
      <c r="DW2" s="506" t="s">
        <v>466</v>
      </c>
      <c r="DX2" s="506" t="s">
        <v>413</v>
      </c>
      <c r="DZ2" s="506" t="s">
        <v>410</v>
      </c>
      <c r="EA2" s="506" t="s">
        <v>435</v>
      </c>
      <c r="EB2" s="506" t="s">
        <v>447</v>
      </c>
      <c r="EC2" s="506" t="s">
        <v>466</v>
      </c>
      <c r="ED2" s="506" t="s">
        <v>413</v>
      </c>
      <c r="EE2" s="506" t="s">
        <v>924</v>
      </c>
      <c r="EF2" s="506" t="s">
        <v>930</v>
      </c>
      <c r="EG2" s="506" t="s">
        <v>929</v>
      </c>
      <c r="EI2" s="507" t="s">
        <v>410</v>
      </c>
      <c r="EJ2" s="507" t="s">
        <v>435</v>
      </c>
      <c r="EK2" s="507" t="s">
        <v>413</v>
      </c>
      <c r="EL2" s="507" t="s">
        <v>1002</v>
      </c>
      <c r="EN2" s="507" t="s">
        <v>410</v>
      </c>
      <c r="EO2" s="507" t="s">
        <v>435</v>
      </c>
      <c r="EP2" s="507" t="s">
        <v>447</v>
      </c>
      <c r="EQ2" s="507" t="s">
        <v>413</v>
      </c>
      <c r="ER2" s="507" t="s">
        <v>466</v>
      </c>
      <c r="ES2" s="507" t="s">
        <v>924</v>
      </c>
      <c r="ET2" s="507" t="s">
        <v>929</v>
      </c>
      <c r="EU2" s="507" t="s">
        <v>930</v>
      </c>
    </row>
    <row r="3" spans="1:151" ht="15" customHeight="1" x14ac:dyDescent="0.2">
      <c r="A3" s="286" t="s">
        <v>860</v>
      </c>
      <c r="B3" s="286" t="s">
        <v>51</v>
      </c>
      <c r="C3" s="287">
        <v>100</v>
      </c>
      <c r="D3" s="287">
        <v>0</v>
      </c>
      <c r="E3" s="287">
        <v>0</v>
      </c>
      <c r="F3" s="294">
        <f t="shared" ref="F3:H8" si="0">+C3/$F$1*$G$1</f>
        <v>0.10420000000000001</v>
      </c>
      <c r="G3" s="292">
        <f t="shared" si="0"/>
        <v>0</v>
      </c>
      <c r="H3" s="292">
        <f t="shared" si="0"/>
        <v>0</v>
      </c>
      <c r="J3" s="295" t="s">
        <v>465</v>
      </c>
      <c r="K3" s="295" t="s">
        <v>243</v>
      </c>
      <c r="L3" s="295" t="s">
        <v>429</v>
      </c>
      <c r="M3" s="295" t="s">
        <v>429</v>
      </c>
      <c r="N3" s="296">
        <v>0</v>
      </c>
      <c r="P3" s="297" t="s">
        <v>860</v>
      </c>
      <c r="Q3" s="276" t="s">
        <v>51</v>
      </c>
      <c r="R3" s="277">
        <v>100</v>
      </c>
      <c r="S3" s="277">
        <v>0</v>
      </c>
      <c r="T3" s="277">
        <v>0</v>
      </c>
      <c r="U3" s="293">
        <f t="shared" ref="U3:W8" si="1">+R3/$V$1*$W$1</f>
        <v>0.10420000000000001</v>
      </c>
      <c r="V3" s="293">
        <f t="shared" si="1"/>
        <v>0</v>
      </c>
      <c r="W3" s="293">
        <f t="shared" si="1"/>
        <v>0</v>
      </c>
      <c r="Y3" s="286" t="s">
        <v>860</v>
      </c>
      <c r="Z3" s="286" t="s">
        <v>51</v>
      </c>
      <c r="AA3" s="287">
        <v>0</v>
      </c>
      <c r="AB3" s="287">
        <v>2184421000</v>
      </c>
      <c r="AC3" s="287">
        <v>2184421000</v>
      </c>
      <c r="AD3" s="293">
        <f>+AC3/$AC$1*$AD$1</f>
        <v>2184421</v>
      </c>
      <c r="AF3" s="286" t="s">
        <v>860</v>
      </c>
      <c r="AG3" s="286" t="s">
        <v>51</v>
      </c>
      <c r="AH3" s="287">
        <v>100</v>
      </c>
      <c r="AI3" s="287">
        <v>0</v>
      </c>
      <c r="AJ3" s="287">
        <v>0</v>
      </c>
      <c r="AK3" s="293">
        <f t="shared" ref="AK3:AM8" si="2">+AH3/$AL$1*$AM$1</f>
        <v>0.1</v>
      </c>
      <c r="AL3" s="293">
        <f t="shared" si="2"/>
        <v>0</v>
      </c>
      <c r="AM3" s="293">
        <f t="shared" si="2"/>
        <v>0</v>
      </c>
      <c r="AO3" s="286" t="s">
        <v>636</v>
      </c>
      <c r="AP3" s="286" t="s">
        <v>637</v>
      </c>
      <c r="AQ3" s="287">
        <v>0</v>
      </c>
      <c r="AS3" s="286" t="s">
        <v>860</v>
      </c>
      <c r="AT3" s="288" t="s">
        <v>51</v>
      </c>
      <c r="AU3" s="287">
        <v>100</v>
      </c>
      <c r="AV3" s="287">
        <v>0</v>
      </c>
      <c r="AW3" s="287">
        <v>0</v>
      </c>
      <c r="AX3" s="292">
        <f t="shared" ref="AX3:AZ8" si="3">+AU3/$AX$1*$AY$1</f>
        <v>0.1</v>
      </c>
      <c r="AY3" s="292">
        <f t="shared" si="3"/>
        <v>0</v>
      </c>
      <c r="AZ3" s="292">
        <f t="shared" si="3"/>
        <v>0</v>
      </c>
      <c r="BB3" s="286" t="s">
        <v>636</v>
      </c>
      <c r="BC3" s="286" t="s">
        <v>637</v>
      </c>
      <c r="BD3" s="287">
        <v>0</v>
      </c>
      <c r="BF3" s="286" t="s">
        <v>860</v>
      </c>
      <c r="BG3" s="288" t="s">
        <v>51</v>
      </c>
      <c r="BH3" s="287">
        <v>100</v>
      </c>
      <c r="BI3" s="287">
        <v>0</v>
      </c>
      <c r="BJ3" s="287">
        <v>0</v>
      </c>
      <c r="BK3" s="292">
        <f>+BH3/$BL$1*$BM$1</f>
        <v>0.1</v>
      </c>
      <c r="BL3" s="292">
        <f t="shared" ref="BL3:BM3" si="4">+BI3/$BL$1*$BM$1</f>
        <v>0</v>
      </c>
      <c r="BM3" s="292">
        <f t="shared" si="4"/>
        <v>0</v>
      </c>
      <c r="BS3" s="290" t="s">
        <v>860</v>
      </c>
      <c r="BT3" s="298" t="s">
        <v>51</v>
      </c>
      <c r="BU3" s="291">
        <v>100</v>
      </c>
      <c r="BV3" s="291">
        <v>0</v>
      </c>
      <c r="BW3" s="291">
        <v>0</v>
      </c>
      <c r="BX3" s="291">
        <f>+BU3/$BX$1*$BY$1</f>
        <v>0.1</v>
      </c>
      <c r="BY3" s="291">
        <f t="shared" ref="BY3:BZ3" si="5">+BV3/$BX$1*$BY$1</f>
        <v>0</v>
      </c>
      <c r="BZ3" s="291">
        <f t="shared" si="5"/>
        <v>0</v>
      </c>
      <c r="CG3" s="286" t="s">
        <v>860</v>
      </c>
      <c r="CH3" s="288" t="s">
        <v>51</v>
      </c>
      <c r="CI3" s="287">
        <v>100</v>
      </c>
      <c r="CJ3" s="287">
        <v>0</v>
      </c>
      <c r="CK3" s="287">
        <v>0</v>
      </c>
      <c r="CL3" s="292">
        <f>+CI3/$CM$1*$CN$1</f>
        <v>0.1</v>
      </c>
      <c r="CM3" s="292">
        <f t="shared" ref="CM3:CN3" si="6">+CJ3/$CM$1*$CN$1</f>
        <v>0</v>
      </c>
      <c r="CN3" s="292">
        <f t="shared" si="6"/>
        <v>0</v>
      </c>
      <c r="CT3" s="286" t="s">
        <v>860</v>
      </c>
      <c r="CU3" s="288" t="s">
        <v>51</v>
      </c>
      <c r="CV3" s="287">
        <v>100</v>
      </c>
      <c r="CW3" s="287">
        <v>0</v>
      </c>
      <c r="CX3" s="287">
        <v>0</v>
      </c>
      <c r="CY3" s="292">
        <f>+CV3/$CY$1*$CZ$1</f>
        <v>0.1</v>
      </c>
      <c r="CZ3" s="292">
        <f t="shared" ref="CZ3:DA3" si="7">+CW3/$CY$1*$CZ$1</f>
        <v>0</v>
      </c>
      <c r="DA3" s="292">
        <f t="shared" si="7"/>
        <v>0</v>
      </c>
      <c r="DC3" s="93" t="s">
        <v>465</v>
      </c>
      <c r="DD3" s="93" t="s">
        <v>243</v>
      </c>
      <c r="DE3" s="77">
        <v>0</v>
      </c>
      <c r="DG3" s="501" t="s">
        <v>860</v>
      </c>
      <c r="DH3" s="316" t="s">
        <v>51</v>
      </c>
      <c r="DI3" s="502">
        <v>100</v>
      </c>
      <c r="DJ3" s="502">
        <v>0</v>
      </c>
      <c r="DK3" s="502">
        <v>0</v>
      </c>
      <c r="DL3" s="503">
        <f>+DI3/$DM$1*$DN$1</f>
        <v>0.1</v>
      </c>
      <c r="DM3" s="503">
        <f t="shared" ref="DM3:DN8" si="8">+DJ3/$DM$1*$DN$1</f>
        <v>0</v>
      </c>
      <c r="DN3" s="503">
        <f t="shared" si="8"/>
        <v>0</v>
      </c>
      <c r="DQ3" s="280" t="s">
        <v>860</v>
      </c>
      <c r="DR3" s="280" t="s">
        <v>51</v>
      </c>
      <c r="DS3" s="362">
        <v>100</v>
      </c>
      <c r="DT3" s="362">
        <v>0</v>
      </c>
      <c r="DU3" s="362">
        <v>0</v>
      </c>
      <c r="DV3" s="362">
        <f t="shared" ref="DV3:DV8" si="9">DS3/$DW$1*$DX$1</f>
        <v>0.1</v>
      </c>
      <c r="DW3" s="362">
        <f t="shared" ref="DW3:DX3" si="10">DT3/$DW$1*$DX$1</f>
        <v>0</v>
      </c>
      <c r="DX3" s="362">
        <f t="shared" si="10"/>
        <v>0</v>
      </c>
      <c r="DZ3" s="93" t="s">
        <v>860</v>
      </c>
      <c r="EA3" s="93" t="s">
        <v>51</v>
      </c>
      <c r="EB3" s="77">
        <v>100</v>
      </c>
      <c r="EC3" s="77">
        <v>0</v>
      </c>
      <c r="ED3" s="77">
        <v>0</v>
      </c>
      <c r="EE3" s="293">
        <f>+EB3/$EE$1*$EF$1</f>
        <v>0.1</v>
      </c>
      <c r="EF3" s="293">
        <f t="shared" ref="EF3:EG3" si="11">+EC3/$EE$1*$EF$1</f>
        <v>0</v>
      </c>
      <c r="EG3" s="293">
        <f t="shared" si="11"/>
        <v>0</v>
      </c>
      <c r="EI3" s="93" t="s">
        <v>860</v>
      </c>
      <c r="EJ3" s="93" t="s">
        <v>51</v>
      </c>
      <c r="EK3" s="77">
        <v>-2334421000</v>
      </c>
      <c r="EL3" s="77">
        <f>+EK3/$EK$1*$EL$1</f>
        <v>-2334421</v>
      </c>
      <c r="EN3" s="93" t="s">
        <v>860</v>
      </c>
      <c r="EO3" s="508" t="s">
        <v>51</v>
      </c>
      <c r="EP3" s="77">
        <v>100</v>
      </c>
      <c r="EQ3" s="77">
        <v>0</v>
      </c>
      <c r="ER3" s="77">
        <v>0</v>
      </c>
      <c r="ES3" s="293">
        <f>+EP3/$ER$1*$ES$1</f>
        <v>0.1</v>
      </c>
      <c r="ET3" s="293">
        <f t="shared" ref="ET3:EU3" si="12">+EQ3/$ER$1*$ES$1</f>
        <v>0</v>
      </c>
      <c r="EU3" s="293">
        <f t="shared" si="12"/>
        <v>0</v>
      </c>
    </row>
    <row r="4" spans="1:151" x14ac:dyDescent="0.2">
      <c r="A4" s="286" t="s">
        <v>860</v>
      </c>
      <c r="B4" s="286" t="s">
        <v>51</v>
      </c>
      <c r="C4" s="287">
        <v>0</v>
      </c>
      <c r="D4" s="287">
        <v>150000000</v>
      </c>
      <c r="E4" s="287">
        <v>150000000</v>
      </c>
      <c r="F4" s="292">
        <f t="shared" si="0"/>
        <v>0</v>
      </c>
      <c r="G4" s="292">
        <f t="shared" si="0"/>
        <v>156300</v>
      </c>
      <c r="H4" s="292">
        <f t="shared" si="0"/>
        <v>156300</v>
      </c>
      <c r="P4" s="297" t="s">
        <v>860</v>
      </c>
      <c r="Q4" s="276" t="s">
        <v>51</v>
      </c>
      <c r="R4" s="277">
        <v>0</v>
      </c>
      <c r="S4" s="277">
        <v>150000000</v>
      </c>
      <c r="T4" s="277">
        <v>150000000</v>
      </c>
      <c r="U4" s="293">
        <f t="shared" si="1"/>
        <v>0</v>
      </c>
      <c r="V4" s="293">
        <f t="shared" si="1"/>
        <v>156300</v>
      </c>
      <c r="W4" s="293">
        <f t="shared" si="1"/>
        <v>156300</v>
      </c>
      <c r="Y4" s="286" t="s">
        <v>636</v>
      </c>
      <c r="Z4" s="286" t="s">
        <v>637</v>
      </c>
      <c r="AA4" s="287">
        <v>-15051788000</v>
      </c>
      <c r="AB4" s="287">
        <v>0</v>
      </c>
      <c r="AC4" s="287">
        <v>0</v>
      </c>
      <c r="AD4" s="293">
        <f>+AC4/$AC$1*$AD$1</f>
        <v>0</v>
      </c>
      <c r="AF4" s="286" t="s">
        <v>860</v>
      </c>
      <c r="AG4" s="286" t="s">
        <v>51</v>
      </c>
      <c r="AH4" s="287">
        <v>0</v>
      </c>
      <c r="AI4" s="287">
        <v>2334421000</v>
      </c>
      <c r="AJ4" s="287">
        <v>2334421000</v>
      </c>
      <c r="AK4" s="293">
        <f t="shared" si="2"/>
        <v>0</v>
      </c>
      <c r="AL4" s="293">
        <f t="shared" si="2"/>
        <v>2334421</v>
      </c>
      <c r="AM4" s="293">
        <f t="shared" si="2"/>
        <v>2334421</v>
      </c>
      <c r="AS4" s="286" t="s">
        <v>860</v>
      </c>
      <c r="AT4" s="288" t="s">
        <v>51</v>
      </c>
      <c r="AU4" s="287">
        <v>0</v>
      </c>
      <c r="AV4" s="287">
        <v>2334421000</v>
      </c>
      <c r="AW4" s="287">
        <v>2334421000</v>
      </c>
      <c r="AX4" s="292">
        <f t="shared" si="3"/>
        <v>0</v>
      </c>
      <c r="AY4" s="292">
        <f t="shared" si="3"/>
        <v>2334421</v>
      </c>
      <c r="AZ4" s="292">
        <f t="shared" si="3"/>
        <v>2334421</v>
      </c>
      <c r="BB4" s="286" t="s">
        <v>434</v>
      </c>
      <c r="BC4" s="286" t="s">
        <v>127</v>
      </c>
      <c r="BD4" s="287">
        <v>0</v>
      </c>
      <c r="BF4" s="286" t="s">
        <v>860</v>
      </c>
      <c r="BG4" s="288" t="s">
        <v>51</v>
      </c>
      <c r="BH4" s="287">
        <v>0</v>
      </c>
      <c r="BI4" s="287">
        <v>2334421000</v>
      </c>
      <c r="BJ4" s="287">
        <v>2334421000</v>
      </c>
      <c r="BK4" s="292">
        <f t="shared" ref="BK4:BK8" si="13">+BH4/$BL$1*$BM$1</f>
        <v>0</v>
      </c>
      <c r="BL4" s="292">
        <f t="shared" ref="BL4:BL8" si="14">+BI4/$BL$1*$BM$1</f>
        <v>2334421</v>
      </c>
      <c r="BM4" s="292">
        <f t="shared" ref="BM4:BM8" si="15">+BJ4/$BL$1*$BM$1</f>
        <v>2334421</v>
      </c>
      <c r="BS4" s="290" t="s">
        <v>860</v>
      </c>
      <c r="BT4" s="298" t="s">
        <v>51</v>
      </c>
      <c r="BU4" s="291">
        <v>0</v>
      </c>
      <c r="BV4" s="291">
        <v>2334421000</v>
      </c>
      <c r="BW4" s="291">
        <v>2334421000</v>
      </c>
      <c r="BX4" s="291">
        <f t="shared" ref="BX4:BX8" si="16">+BU4/$BX$1*$BY$1</f>
        <v>0</v>
      </c>
      <c r="BY4" s="291">
        <f t="shared" ref="BY4:BY8" si="17">+BV4/$BX$1*$BY$1</f>
        <v>2334421</v>
      </c>
      <c r="BZ4" s="291">
        <f t="shared" ref="BZ4:BZ8" si="18">+BW4/$BX$1*$BY$1</f>
        <v>2334421</v>
      </c>
      <c r="CG4" s="286" t="s">
        <v>860</v>
      </c>
      <c r="CH4" s="288" t="s">
        <v>51</v>
      </c>
      <c r="CI4" s="287">
        <v>0</v>
      </c>
      <c r="CJ4" s="287">
        <v>2334421000</v>
      </c>
      <c r="CK4" s="287">
        <v>2334421000</v>
      </c>
      <c r="CL4" s="292">
        <f t="shared" ref="CL4:CL8" si="19">+CI4/$CM$1*$CN$1</f>
        <v>0</v>
      </c>
      <c r="CM4" s="292">
        <f t="shared" ref="CM4:CM8" si="20">+CJ4/$CM$1*$CN$1</f>
        <v>2334421</v>
      </c>
      <c r="CN4" s="292">
        <f t="shared" ref="CN4:CN8" si="21">+CK4/$CM$1*$CN$1</f>
        <v>2334421</v>
      </c>
      <c r="CT4" s="286" t="s">
        <v>860</v>
      </c>
      <c r="CU4" s="288" t="s">
        <v>51</v>
      </c>
      <c r="CV4" s="287">
        <v>0</v>
      </c>
      <c r="CW4" s="287">
        <v>2334421000</v>
      </c>
      <c r="CX4" s="287">
        <v>2334421000</v>
      </c>
      <c r="CY4" s="292">
        <f t="shared" ref="CY4:CY8" si="22">+CV4/$CY$1*$CZ$1</f>
        <v>0</v>
      </c>
      <c r="CZ4" s="292">
        <f t="shared" ref="CZ4:CZ8" si="23">+CW4/$CY$1*$CZ$1</f>
        <v>2334421</v>
      </c>
      <c r="DA4" s="292">
        <f t="shared" ref="DA4:DA8" si="24">+CX4/$CY$1*$CZ$1</f>
        <v>2334421</v>
      </c>
      <c r="DC4" s="93" t="s">
        <v>636</v>
      </c>
      <c r="DD4" s="93" t="s">
        <v>637</v>
      </c>
      <c r="DE4" s="77">
        <v>0</v>
      </c>
      <c r="DG4" s="501" t="s">
        <v>860</v>
      </c>
      <c r="DH4" s="316" t="s">
        <v>51</v>
      </c>
      <c r="DI4" s="502">
        <v>0</v>
      </c>
      <c r="DJ4" s="502">
        <v>2334421000</v>
      </c>
      <c r="DK4" s="502">
        <v>2334421000</v>
      </c>
      <c r="DL4" s="503">
        <f t="shared" ref="DL4:DL8" si="25">+DI4/$DM$1*$DN$1</f>
        <v>0</v>
      </c>
      <c r="DM4" s="503">
        <f t="shared" si="8"/>
        <v>2334421</v>
      </c>
      <c r="DN4" s="503">
        <f t="shared" si="8"/>
        <v>2334421</v>
      </c>
      <c r="DQ4" s="280" t="s">
        <v>860</v>
      </c>
      <c r="DR4" s="280" t="s">
        <v>51</v>
      </c>
      <c r="DS4" s="362">
        <v>0</v>
      </c>
      <c r="DT4" s="362">
        <v>2334421000</v>
      </c>
      <c r="DU4" s="362">
        <v>2334421000</v>
      </c>
      <c r="DV4" s="362">
        <f t="shared" si="9"/>
        <v>0</v>
      </c>
      <c r="DW4" s="362">
        <f t="shared" ref="DW4:DW8" si="26">DT4/$DW$1*$DX$1</f>
        <v>2334421</v>
      </c>
      <c r="DX4" s="362">
        <f>DU4/$DW$1*$DX$1</f>
        <v>2334421</v>
      </c>
      <c r="DZ4" s="93" t="s">
        <v>860</v>
      </c>
      <c r="EA4" s="93" t="s">
        <v>51</v>
      </c>
      <c r="EB4" s="77">
        <v>0</v>
      </c>
      <c r="EC4" s="77">
        <v>2334421000</v>
      </c>
      <c r="ED4" s="77">
        <v>2334421000</v>
      </c>
      <c r="EE4" s="293">
        <f t="shared" ref="EE4:EE8" si="27">+EB4/$EE$1*$EF$1</f>
        <v>0</v>
      </c>
      <c r="EF4" s="293">
        <f t="shared" ref="EF4:EF8" si="28">+EC4/$EE$1*$EF$1</f>
        <v>2334421</v>
      </c>
      <c r="EG4" s="293">
        <f t="shared" ref="EG4:EG8" si="29">+ED4/$EE$1*$EF$1</f>
        <v>2334421</v>
      </c>
      <c r="EI4" s="93" t="s">
        <v>636</v>
      </c>
      <c r="EJ4" s="93" t="s">
        <v>637</v>
      </c>
      <c r="EK4" s="77">
        <v>0</v>
      </c>
      <c r="EL4" s="77">
        <f>+EK4/$EK$1*$EL$1</f>
        <v>0</v>
      </c>
      <c r="EN4" s="93" t="s">
        <v>860</v>
      </c>
      <c r="EO4" s="508" t="s">
        <v>51</v>
      </c>
      <c r="EP4" s="77">
        <v>0</v>
      </c>
      <c r="EQ4" s="77">
        <v>0</v>
      </c>
      <c r="ER4" s="77">
        <v>0</v>
      </c>
      <c r="ES4" s="293">
        <f t="shared" ref="ES4:ES8" si="30">+EP4/$ER$1*$ES$1</f>
        <v>0</v>
      </c>
      <c r="ET4" s="293">
        <f t="shared" ref="ET4:ET8" si="31">+EQ4/$ER$1*$ES$1</f>
        <v>0</v>
      </c>
      <c r="EU4" s="293">
        <f t="shared" ref="EU4:EU8" si="32">+ER4/$ER$1*$ES$1</f>
        <v>0</v>
      </c>
    </row>
    <row r="5" spans="1:151" x14ac:dyDescent="0.2">
      <c r="A5" s="286" t="s">
        <v>465</v>
      </c>
      <c r="B5" s="286" t="s">
        <v>243</v>
      </c>
      <c r="C5" s="287">
        <v>79217505000</v>
      </c>
      <c r="D5" s="287">
        <v>0</v>
      </c>
      <c r="E5" s="287">
        <v>0</v>
      </c>
      <c r="F5" s="292">
        <f t="shared" si="0"/>
        <v>82544640.210000008</v>
      </c>
      <c r="G5" s="292">
        <f t="shared" si="0"/>
        <v>0</v>
      </c>
      <c r="H5" s="292">
        <f t="shared" si="0"/>
        <v>0</v>
      </c>
      <c r="P5" s="297" t="s">
        <v>465</v>
      </c>
      <c r="Q5" s="276" t="s">
        <v>243</v>
      </c>
      <c r="R5" s="277">
        <v>40425183000</v>
      </c>
      <c r="S5" s="277">
        <v>0</v>
      </c>
      <c r="T5" s="277">
        <v>0</v>
      </c>
      <c r="U5" s="293">
        <f t="shared" si="1"/>
        <v>42123040.686000004</v>
      </c>
      <c r="V5" s="293">
        <f t="shared" si="1"/>
        <v>0</v>
      </c>
      <c r="W5" s="293">
        <f t="shared" si="1"/>
        <v>0</v>
      </c>
      <c r="AF5" s="286" t="s">
        <v>465</v>
      </c>
      <c r="AG5" s="286" t="s">
        <v>243</v>
      </c>
      <c r="AH5" s="287">
        <v>40425183000</v>
      </c>
      <c r="AI5" s="287">
        <v>0</v>
      </c>
      <c r="AJ5" s="287">
        <v>0</v>
      </c>
      <c r="AK5" s="293">
        <f t="shared" si="2"/>
        <v>40425183</v>
      </c>
      <c r="AL5" s="293">
        <f t="shared" si="2"/>
        <v>0</v>
      </c>
      <c r="AM5" s="293">
        <f t="shared" si="2"/>
        <v>0</v>
      </c>
      <c r="AS5" s="286" t="s">
        <v>465</v>
      </c>
      <c r="AT5" s="288" t="s">
        <v>243</v>
      </c>
      <c r="AU5" s="287">
        <v>40425183000</v>
      </c>
      <c r="AV5" s="287">
        <v>0</v>
      </c>
      <c r="AW5" s="287">
        <v>0</v>
      </c>
      <c r="AX5" s="292">
        <f t="shared" si="3"/>
        <v>40425183</v>
      </c>
      <c r="AY5" s="292">
        <f t="shared" si="3"/>
        <v>0</v>
      </c>
      <c r="AZ5" s="292">
        <f t="shared" si="3"/>
        <v>0</v>
      </c>
      <c r="BF5" s="286" t="s">
        <v>465</v>
      </c>
      <c r="BG5" s="288" t="s">
        <v>243</v>
      </c>
      <c r="BH5" s="287">
        <v>40425183000</v>
      </c>
      <c r="BI5" s="287">
        <v>0</v>
      </c>
      <c r="BJ5" s="287">
        <v>0</v>
      </c>
      <c r="BK5" s="292">
        <f t="shared" si="13"/>
        <v>40425183</v>
      </c>
      <c r="BL5" s="292">
        <f t="shared" si="14"/>
        <v>0</v>
      </c>
      <c r="BM5" s="292">
        <f t="shared" si="15"/>
        <v>0</v>
      </c>
      <c r="BS5" s="290" t="s">
        <v>465</v>
      </c>
      <c r="BT5" s="298" t="s">
        <v>243</v>
      </c>
      <c r="BU5" s="291">
        <v>40425183000</v>
      </c>
      <c r="BV5" s="291">
        <v>0</v>
      </c>
      <c r="BW5" s="291">
        <v>0</v>
      </c>
      <c r="BX5" s="291">
        <f t="shared" si="16"/>
        <v>40425183</v>
      </c>
      <c r="BY5" s="291">
        <f t="shared" si="17"/>
        <v>0</v>
      </c>
      <c r="BZ5" s="291">
        <f t="shared" si="18"/>
        <v>0</v>
      </c>
      <c r="CG5" s="286" t="s">
        <v>465</v>
      </c>
      <c r="CH5" s="288" t="s">
        <v>243</v>
      </c>
      <c r="CI5" s="287">
        <v>40425183000</v>
      </c>
      <c r="CJ5" s="287">
        <v>0</v>
      </c>
      <c r="CK5" s="287">
        <v>0</v>
      </c>
      <c r="CL5" s="292">
        <f t="shared" si="19"/>
        <v>40425183</v>
      </c>
      <c r="CM5" s="292">
        <f t="shared" si="20"/>
        <v>0</v>
      </c>
      <c r="CN5" s="292">
        <f t="shared" si="21"/>
        <v>0</v>
      </c>
      <c r="CT5" s="286" t="s">
        <v>465</v>
      </c>
      <c r="CU5" s="288" t="s">
        <v>243</v>
      </c>
      <c r="CV5" s="287">
        <v>40425183000</v>
      </c>
      <c r="CW5" s="287">
        <v>0</v>
      </c>
      <c r="CX5" s="287">
        <v>0</v>
      </c>
      <c r="CY5" s="292">
        <f t="shared" si="22"/>
        <v>40425183</v>
      </c>
      <c r="CZ5" s="292">
        <f t="shared" si="23"/>
        <v>0</v>
      </c>
      <c r="DA5" s="292">
        <f t="shared" si="24"/>
        <v>0</v>
      </c>
      <c r="DG5" s="501" t="s">
        <v>465</v>
      </c>
      <c r="DH5" s="316" t="s">
        <v>243</v>
      </c>
      <c r="DI5" s="502">
        <v>39608752000</v>
      </c>
      <c r="DJ5" s="502">
        <v>0</v>
      </c>
      <c r="DK5" s="502">
        <v>0</v>
      </c>
      <c r="DL5" s="503">
        <f t="shared" si="25"/>
        <v>39608752</v>
      </c>
      <c r="DM5" s="503">
        <f t="shared" si="8"/>
        <v>0</v>
      </c>
      <c r="DN5" s="503">
        <f t="shared" si="8"/>
        <v>0</v>
      </c>
      <c r="DQ5" s="280" t="s">
        <v>465</v>
      </c>
      <c r="DR5" s="280" t="s">
        <v>243</v>
      </c>
      <c r="DS5" s="362">
        <v>39608752000</v>
      </c>
      <c r="DT5" s="362">
        <v>0</v>
      </c>
      <c r="DU5" s="362">
        <v>0</v>
      </c>
      <c r="DV5" s="362">
        <f t="shared" si="9"/>
        <v>39608752</v>
      </c>
      <c r="DW5" s="362">
        <f t="shared" si="26"/>
        <v>0</v>
      </c>
      <c r="DX5" s="362">
        <f>DU5/$DW$1*$DX$1</f>
        <v>0</v>
      </c>
      <c r="DZ5" s="93" t="s">
        <v>465</v>
      </c>
      <c r="EA5" s="93" t="s">
        <v>243</v>
      </c>
      <c r="EB5" s="77">
        <v>0</v>
      </c>
      <c r="EC5" s="77">
        <v>0</v>
      </c>
      <c r="ED5" s="77">
        <v>0</v>
      </c>
      <c r="EE5" s="293">
        <f t="shared" si="27"/>
        <v>0</v>
      </c>
      <c r="EF5" s="293">
        <f t="shared" si="28"/>
        <v>0</v>
      </c>
      <c r="EG5" s="293">
        <f t="shared" si="29"/>
        <v>0</v>
      </c>
      <c r="EN5" s="93" t="s">
        <v>465</v>
      </c>
      <c r="EO5" s="508" t="s">
        <v>243</v>
      </c>
      <c r="EP5" s="77">
        <v>0</v>
      </c>
      <c r="EQ5" s="77">
        <v>0</v>
      </c>
      <c r="ER5" s="77">
        <v>0</v>
      </c>
      <c r="ES5" s="293">
        <f t="shared" si="30"/>
        <v>0</v>
      </c>
      <c r="ET5" s="293">
        <f t="shared" si="31"/>
        <v>0</v>
      </c>
      <c r="EU5" s="293">
        <f t="shared" si="32"/>
        <v>0</v>
      </c>
    </row>
    <row r="6" spans="1:151" x14ac:dyDescent="0.2">
      <c r="A6" s="286" t="s">
        <v>636</v>
      </c>
      <c r="B6" s="286" t="s">
        <v>637</v>
      </c>
      <c r="C6" s="287">
        <v>38281761000</v>
      </c>
      <c r="D6" s="287">
        <v>0</v>
      </c>
      <c r="E6" s="287">
        <v>0</v>
      </c>
      <c r="F6" s="292">
        <f t="shared" si="0"/>
        <v>39889594.962000005</v>
      </c>
      <c r="G6" s="292">
        <f t="shared" si="0"/>
        <v>0</v>
      </c>
      <c r="H6" s="292">
        <f t="shared" si="0"/>
        <v>0</v>
      </c>
      <c r="P6" s="297" t="s">
        <v>636</v>
      </c>
      <c r="Q6" s="276" t="s">
        <v>637</v>
      </c>
      <c r="R6" s="277">
        <v>38281761000</v>
      </c>
      <c r="S6" s="277">
        <v>0</v>
      </c>
      <c r="T6" s="277">
        <v>0</v>
      </c>
      <c r="U6" s="293">
        <f t="shared" si="1"/>
        <v>39889594.962000005</v>
      </c>
      <c r="V6" s="293">
        <f t="shared" si="1"/>
        <v>0</v>
      </c>
      <c r="W6" s="293">
        <f t="shared" si="1"/>
        <v>0</v>
      </c>
      <c r="AF6" s="286" t="s">
        <v>636</v>
      </c>
      <c r="AG6" s="286" t="s">
        <v>637</v>
      </c>
      <c r="AH6" s="287">
        <v>23229973000</v>
      </c>
      <c r="AI6" s="287">
        <v>0</v>
      </c>
      <c r="AJ6" s="287">
        <v>0</v>
      </c>
      <c r="AK6" s="293">
        <f t="shared" si="2"/>
        <v>23229973</v>
      </c>
      <c r="AL6" s="293">
        <f t="shared" si="2"/>
        <v>0</v>
      </c>
      <c r="AM6" s="293">
        <f t="shared" si="2"/>
        <v>0</v>
      </c>
      <c r="AS6" s="286" t="s">
        <v>636</v>
      </c>
      <c r="AT6" s="288" t="s">
        <v>637</v>
      </c>
      <c r="AU6" s="287">
        <v>15229973000</v>
      </c>
      <c r="AV6" s="287">
        <v>0</v>
      </c>
      <c r="AW6" s="287">
        <v>0</v>
      </c>
      <c r="AX6" s="292">
        <f t="shared" si="3"/>
        <v>15229973</v>
      </c>
      <c r="AY6" s="292">
        <f t="shared" si="3"/>
        <v>0</v>
      </c>
      <c r="AZ6" s="292">
        <f t="shared" si="3"/>
        <v>0</v>
      </c>
      <c r="BF6" s="286" t="s">
        <v>636</v>
      </c>
      <c r="BG6" s="288" t="s">
        <v>637</v>
      </c>
      <c r="BH6" s="287">
        <v>12856456000</v>
      </c>
      <c r="BI6" s="287">
        <v>0</v>
      </c>
      <c r="BJ6" s="287">
        <v>0</v>
      </c>
      <c r="BK6" s="292">
        <f t="shared" si="13"/>
        <v>12856456</v>
      </c>
      <c r="BL6" s="292">
        <f t="shared" si="14"/>
        <v>0</v>
      </c>
      <c r="BM6" s="292">
        <f t="shared" si="15"/>
        <v>0</v>
      </c>
      <c r="BS6" s="290" t="s">
        <v>636</v>
      </c>
      <c r="BT6" s="298" t="s">
        <v>637</v>
      </c>
      <c r="BU6" s="291">
        <v>12856456000</v>
      </c>
      <c r="BV6" s="291">
        <v>0</v>
      </c>
      <c r="BW6" s="291">
        <v>0</v>
      </c>
      <c r="BX6" s="291">
        <f t="shared" si="16"/>
        <v>12856456</v>
      </c>
      <c r="BY6" s="291">
        <f t="shared" si="17"/>
        <v>0</v>
      </c>
      <c r="BZ6" s="291">
        <f t="shared" si="18"/>
        <v>0</v>
      </c>
      <c r="CG6" s="286" t="s">
        <v>636</v>
      </c>
      <c r="CH6" s="288" t="s">
        <v>637</v>
      </c>
      <c r="CI6" s="287">
        <v>12696456000</v>
      </c>
      <c r="CJ6" s="287">
        <v>0</v>
      </c>
      <c r="CK6" s="287">
        <v>0</v>
      </c>
      <c r="CL6" s="292">
        <f t="shared" si="19"/>
        <v>12696456</v>
      </c>
      <c r="CM6" s="292">
        <f t="shared" si="20"/>
        <v>0</v>
      </c>
      <c r="CN6" s="292">
        <f t="shared" si="21"/>
        <v>0</v>
      </c>
      <c r="CT6" s="286" t="s">
        <v>636</v>
      </c>
      <c r="CU6" s="288" t="s">
        <v>637</v>
      </c>
      <c r="CV6" s="287">
        <v>10567152000</v>
      </c>
      <c r="CW6" s="287">
        <v>0</v>
      </c>
      <c r="CX6" s="287">
        <v>0</v>
      </c>
      <c r="CY6" s="292">
        <f t="shared" si="22"/>
        <v>10567152</v>
      </c>
      <c r="CZ6" s="292">
        <f t="shared" si="23"/>
        <v>0</v>
      </c>
      <c r="DA6" s="292">
        <f t="shared" si="24"/>
        <v>0</v>
      </c>
      <c r="DG6" s="501" t="s">
        <v>636</v>
      </c>
      <c r="DH6" s="316" t="s">
        <v>637</v>
      </c>
      <c r="DI6" s="502">
        <v>10267152000</v>
      </c>
      <c r="DJ6" s="502">
        <v>0</v>
      </c>
      <c r="DK6" s="502">
        <v>0</v>
      </c>
      <c r="DL6" s="503">
        <f t="shared" si="25"/>
        <v>10267152</v>
      </c>
      <c r="DM6" s="503">
        <f t="shared" si="8"/>
        <v>0</v>
      </c>
      <c r="DN6" s="503">
        <f t="shared" si="8"/>
        <v>0</v>
      </c>
      <c r="DQ6" s="280" t="s">
        <v>636</v>
      </c>
      <c r="DR6" s="280" t="s">
        <v>637</v>
      </c>
      <c r="DS6" s="362">
        <v>10267152000</v>
      </c>
      <c r="DT6" s="362">
        <v>0</v>
      </c>
      <c r="DU6" s="362">
        <v>0</v>
      </c>
      <c r="DV6" s="362">
        <f t="shared" si="9"/>
        <v>10267152</v>
      </c>
      <c r="DW6" s="362">
        <f t="shared" si="26"/>
        <v>0</v>
      </c>
      <c r="DX6" s="362">
        <f>DU6/$DW$1*$DX$1</f>
        <v>0</v>
      </c>
      <c r="DZ6" s="93" t="s">
        <v>636</v>
      </c>
      <c r="EA6" s="93" t="s">
        <v>637</v>
      </c>
      <c r="EB6" s="77">
        <v>10267152000</v>
      </c>
      <c r="EC6" s="77">
        <v>0</v>
      </c>
      <c r="ED6" s="77">
        <v>0</v>
      </c>
      <c r="EE6" s="293">
        <f t="shared" si="27"/>
        <v>10267152</v>
      </c>
      <c r="EF6" s="293">
        <f t="shared" si="28"/>
        <v>0</v>
      </c>
      <c r="EG6" s="293">
        <f t="shared" si="29"/>
        <v>0</v>
      </c>
      <c r="EN6" s="93" t="s">
        <v>636</v>
      </c>
      <c r="EO6" s="508" t="s">
        <v>637</v>
      </c>
      <c r="EP6" s="77">
        <v>0</v>
      </c>
      <c r="EQ6" s="77">
        <v>0</v>
      </c>
      <c r="ER6" s="77">
        <v>0</v>
      </c>
      <c r="ES6" s="293">
        <f t="shared" si="30"/>
        <v>0</v>
      </c>
      <c r="ET6" s="293">
        <f t="shared" si="31"/>
        <v>0</v>
      </c>
      <c r="EU6" s="293">
        <f t="shared" si="32"/>
        <v>0</v>
      </c>
    </row>
    <row r="7" spans="1:151" x14ac:dyDescent="0.2">
      <c r="A7" s="286" t="s">
        <v>434</v>
      </c>
      <c r="B7" s="286" t="s">
        <v>127</v>
      </c>
      <c r="C7" s="287">
        <v>100</v>
      </c>
      <c r="D7" s="287">
        <v>0</v>
      </c>
      <c r="E7" s="287">
        <v>0</v>
      </c>
      <c r="F7" s="292">
        <f t="shared" si="0"/>
        <v>0.10420000000000001</v>
      </c>
      <c r="G7" s="292">
        <f t="shared" si="0"/>
        <v>0</v>
      </c>
      <c r="H7" s="292">
        <f t="shared" si="0"/>
        <v>0</v>
      </c>
      <c r="P7" s="297" t="s">
        <v>434</v>
      </c>
      <c r="Q7" s="276" t="s">
        <v>127</v>
      </c>
      <c r="R7" s="277">
        <v>100</v>
      </c>
      <c r="S7" s="277">
        <v>0</v>
      </c>
      <c r="T7" s="277">
        <v>0</v>
      </c>
      <c r="U7" s="293">
        <f t="shared" si="1"/>
        <v>0.10420000000000001</v>
      </c>
      <c r="V7" s="293">
        <f t="shared" si="1"/>
        <v>0</v>
      </c>
      <c r="W7" s="293">
        <f t="shared" si="1"/>
        <v>0</v>
      </c>
      <c r="AF7" s="286" t="s">
        <v>434</v>
      </c>
      <c r="AG7" s="286" t="s">
        <v>127</v>
      </c>
      <c r="AH7" s="287">
        <v>100</v>
      </c>
      <c r="AI7" s="287">
        <v>0</v>
      </c>
      <c r="AJ7" s="287">
        <v>0</v>
      </c>
      <c r="AK7" s="293">
        <f t="shared" si="2"/>
        <v>0.1</v>
      </c>
      <c r="AL7" s="293">
        <f t="shared" si="2"/>
        <v>0</v>
      </c>
      <c r="AM7" s="293">
        <f t="shared" si="2"/>
        <v>0</v>
      </c>
      <c r="AS7" s="286" t="s">
        <v>434</v>
      </c>
      <c r="AT7" s="288" t="s">
        <v>127</v>
      </c>
      <c r="AU7" s="287">
        <f>100+AU8</f>
        <v>7857172100</v>
      </c>
      <c r="AV7" s="287">
        <v>0</v>
      </c>
      <c r="AW7" s="287">
        <v>0</v>
      </c>
      <c r="AX7" s="292">
        <f t="shared" si="3"/>
        <v>7857172.0999999996</v>
      </c>
      <c r="AY7" s="292">
        <f t="shared" si="3"/>
        <v>0</v>
      </c>
      <c r="AZ7" s="292">
        <f t="shared" si="3"/>
        <v>0</v>
      </c>
      <c r="BF7" s="286" t="s">
        <v>434</v>
      </c>
      <c r="BG7" s="288" t="s">
        <v>127</v>
      </c>
      <c r="BH7" s="287">
        <v>7857172100</v>
      </c>
      <c r="BI7" s="287">
        <v>0</v>
      </c>
      <c r="BJ7" s="287">
        <v>0</v>
      </c>
      <c r="BK7" s="292">
        <f t="shared" si="13"/>
        <v>7857172.0999999996</v>
      </c>
      <c r="BL7" s="292">
        <f t="shared" si="14"/>
        <v>0</v>
      </c>
      <c r="BM7" s="292">
        <f t="shared" si="15"/>
        <v>0</v>
      </c>
      <c r="BS7" s="290" t="s">
        <v>434</v>
      </c>
      <c r="BT7" s="298" t="s">
        <v>127</v>
      </c>
      <c r="BU7" s="291">
        <v>7857172100</v>
      </c>
      <c r="BV7" s="291">
        <v>0</v>
      </c>
      <c r="BW7" s="291">
        <v>0</v>
      </c>
      <c r="BX7" s="291">
        <f t="shared" si="16"/>
        <v>7857172.0999999996</v>
      </c>
      <c r="BY7" s="291">
        <f t="shared" si="17"/>
        <v>0</v>
      </c>
      <c r="BZ7" s="291">
        <f t="shared" si="18"/>
        <v>0</v>
      </c>
      <c r="CG7" s="286" t="s">
        <v>434</v>
      </c>
      <c r="CH7" s="288" t="s">
        <v>127</v>
      </c>
      <c r="CI7" s="287">
        <v>7857172100</v>
      </c>
      <c r="CJ7" s="287">
        <v>0</v>
      </c>
      <c r="CK7" s="287">
        <v>0</v>
      </c>
      <c r="CL7" s="292">
        <f t="shared" si="19"/>
        <v>7857172.0999999996</v>
      </c>
      <c r="CM7" s="292">
        <f t="shared" si="20"/>
        <v>0</v>
      </c>
      <c r="CN7" s="292">
        <f t="shared" si="21"/>
        <v>0</v>
      </c>
      <c r="CT7" s="286" t="s">
        <v>434</v>
      </c>
      <c r="CU7" s="288" t="s">
        <v>127</v>
      </c>
      <c r="CV7" s="287">
        <v>7857172100</v>
      </c>
      <c r="CW7" s="287">
        <v>0</v>
      </c>
      <c r="CX7" s="287">
        <v>0</v>
      </c>
      <c r="CY7" s="292">
        <f t="shared" si="22"/>
        <v>7857172.0999999996</v>
      </c>
      <c r="CZ7" s="292">
        <f t="shared" si="23"/>
        <v>0</v>
      </c>
      <c r="DA7" s="292">
        <f t="shared" si="24"/>
        <v>0</v>
      </c>
      <c r="DG7" s="501" t="s">
        <v>434</v>
      </c>
      <c r="DH7" s="316" t="s">
        <v>127</v>
      </c>
      <c r="DI7" s="502">
        <v>7857172100</v>
      </c>
      <c r="DJ7" s="502">
        <v>0</v>
      </c>
      <c r="DK7" s="502">
        <v>0</v>
      </c>
      <c r="DL7" s="503">
        <f t="shared" si="25"/>
        <v>7857172.0999999996</v>
      </c>
      <c r="DM7" s="503">
        <f t="shared" si="8"/>
        <v>0</v>
      </c>
      <c r="DN7" s="503">
        <f t="shared" si="8"/>
        <v>0</v>
      </c>
      <c r="DQ7" s="280" t="s">
        <v>434</v>
      </c>
      <c r="DR7" s="280" t="s">
        <v>127</v>
      </c>
      <c r="DS7" s="362">
        <v>7857172100</v>
      </c>
      <c r="DT7" s="362">
        <v>0</v>
      </c>
      <c r="DU7" s="362">
        <v>0</v>
      </c>
      <c r="DV7" s="362">
        <f t="shared" si="9"/>
        <v>7857172.0999999996</v>
      </c>
      <c r="DW7" s="362">
        <f t="shared" si="26"/>
        <v>0</v>
      </c>
      <c r="DX7" s="362">
        <f>DU7/$DW$1*$DX$1</f>
        <v>0</v>
      </c>
      <c r="DZ7" s="93" t="s">
        <v>434</v>
      </c>
      <c r="EA7" s="93" t="s">
        <v>127</v>
      </c>
      <c r="EB7" s="77">
        <v>7857172100</v>
      </c>
      <c r="EC7" s="77">
        <v>0</v>
      </c>
      <c r="ED7" s="77">
        <v>0</v>
      </c>
      <c r="EE7" s="293">
        <f t="shared" si="27"/>
        <v>7857172.0999999996</v>
      </c>
      <c r="EF7" s="293">
        <f t="shared" si="28"/>
        <v>0</v>
      </c>
      <c r="EG7" s="293">
        <f t="shared" si="29"/>
        <v>0</v>
      </c>
      <c r="EN7" s="93" t="s">
        <v>434</v>
      </c>
      <c r="EO7" s="508" t="s">
        <v>127</v>
      </c>
      <c r="EP7" s="77">
        <v>7857172100</v>
      </c>
      <c r="EQ7" s="77">
        <v>0</v>
      </c>
      <c r="ER7" s="77">
        <v>0</v>
      </c>
      <c r="ES7" s="293">
        <f t="shared" si="30"/>
        <v>7857172.0999999996</v>
      </c>
      <c r="ET7" s="293">
        <f t="shared" si="31"/>
        <v>0</v>
      </c>
      <c r="EU7" s="293">
        <f t="shared" si="32"/>
        <v>0</v>
      </c>
    </row>
    <row r="8" spans="1:151" x14ac:dyDescent="0.2">
      <c r="A8" s="286" t="s">
        <v>434</v>
      </c>
      <c r="B8" s="286" t="s">
        <v>127</v>
      </c>
      <c r="C8" s="287">
        <v>0</v>
      </c>
      <c r="D8" s="287">
        <v>7857172000</v>
      </c>
      <c r="E8" s="287">
        <v>7857172000</v>
      </c>
      <c r="F8" s="292">
        <f t="shared" si="0"/>
        <v>0</v>
      </c>
      <c r="G8" s="292">
        <f t="shared" si="0"/>
        <v>8187173.2240000004</v>
      </c>
      <c r="H8" s="292">
        <f t="shared" si="0"/>
        <v>8187173.2240000004</v>
      </c>
      <c r="P8" s="297" t="s">
        <v>434</v>
      </c>
      <c r="Q8" s="276" t="s">
        <v>127</v>
      </c>
      <c r="R8" s="277">
        <v>0</v>
      </c>
      <c r="S8" s="277">
        <v>7857172000</v>
      </c>
      <c r="T8" s="277">
        <v>7857172000</v>
      </c>
      <c r="U8" s="293">
        <f t="shared" si="1"/>
        <v>0</v>
      </c>
      <c r="V8" s="293">
        <f t="shared" si="1"/>
        <v>8187173.2240000004</v>
      </c>
      <c r="W8" s="293">
        <f t="shared" si="1"/>
        <v>8187173.2240000004</v>
      </c>
      <c r="AF8" s="286" t="s">
        <v>434</v>
      </c>
      <c r="AG8" s="286" t="s">
        <v>127</v>
      </c>
      <c r="AH8" s="287">
        <v>0</v>
      </c>
      <c r="AI8" s="287">
        <v>7857172000</v>
      </c>
      <c r="AJ8" s="287">
        <v>7857172000</v>
      </c>
      <c r="AK8" s="293">
        <f t="shared" si="2"/>
        <v>0</v>
      </c>
      <c r="AL8" s="293">
        <f t="shared" si="2"/>
        <v>7857172</v>
      </c>
      <c r="AM8" s="293">
        <f t="shared" si="2"/>
        <v>7857172</v>
      </c>
      <c r="AS8" s="286" t="s">
        <v>434</v>
      </c>
      <c r="AT8" s="288" t="s">
        <v>127</v>
      </c>
      <c r="AU8" s="287">
        <v>7857172000</v>
      </c>
      <c r="AV8" s="287">
        <v>7857172000</v>
      </c>
      <c r="AW8" s="287">
        <v>7857172000</v>
      </c>
      <c r="AX8" s="292">
        <f t="shared" si="3"/>
        <v>7857172</v>
      </c>
      <c r="AY8" s="292">
        <f t="shared" si="3"/>
        <v>7857172</v>
      </c>
      <c r="AZ8" s="292">
        <f t="shared" si="3"/>
        <v>7857172</v>
      </c>
      <c r="BF8" s="286" t="s">
        <v>434</v>
      </c>
      <c r="BG8" s="288" t="s">
        <v>127</v>
      </c>
      <c r="BH8" s="287">
        <v>0</v>
      </c>
      <c r="BI8" s="287">
        <v>7857172000</v>
      </c>
      <c r="BJ8" s="287">
        <v>7857172000</v>
      </c>
      <c r="BK8" s="292">
        <f t="shared" si="13"/>
        <v>0</v>
      </c>
      <c r="BL8" s="292">
        <f t="shared" si="14"/>
        <v>7857172</v>
      </c>
      <c r="BM8" s="292">
        <f t="shared" si="15"/>
        <v>7857172</v>
      </c>
      <c r="BS8" s="290" t="s">
        <v>434</v>
      </c>
      <c r="BT8" s="298" t="s">
        <v>127</v>
      </c>
      <c r="BU8" s="291">
        <v>0</v>
      </c>
      <c r="BV8" s="291">
        <v>7857172000</v>
      </c>
      <c r="BW8" s="291">
        <v>7857172000</v>
      </c>
      <c r="BX8" s="291">
        <f t="shared" si="16"/>
        <v>0</v>
      </c>
      <c r="BY8" s="291">
        <f t="shared" si="17"/>
        <v>7857172</v>
      </c>
      <c r="BZ8" s="291">
        <f t="shared" si="18"/>
        <v>7857172</v>
      </c>
      <c r="CG8" s="286" t="s">
        <v>434</v>
      </c>
      <c r="CH8" s="288" t="s">
        <v>127</v>
      </c>
      <c r="CI8" s="287">
        <v>0</v>
      </c>
      <c r="CJ8" s="287">
        <v>7857172000</v>
      </c>
      <c r="CK8" s="287">
        <v>7857172000</v>
      </c>
      <c r="CL8" s="292">
        <f t="shared" si="19"/>
        <v>0</v>
      </c>
      <c r="CM8" s="292">
        <f t="shared" si="20"/>
        <v>7857172</v>
      </c>
      <c r="CN8" s="292">
        <f t="shared" si="21"/>
        <v>7857172</v>
      </c>
      <c r="CT8" s="286" t="s">
        <v>434</v>
      </c>
      <c r="CU8" s="288" t="s">
        <v>127</v>
      </c>
      <c r="CV8" s="287">
        <v>0</v>
      </c>
      <c r="CW8" s="287">
        <v>7857172000</v>
      </c>
      <c r="CX8" s="287">
        <v>7857172000</v>
      </c>
      <c r="CY8" s="292">
        <f t="shared" si="22"/>
        <v>0</v>
      </c>
      <c r="CZ8" s="292">
        <f t="shared" si="23"/>
        <v>7857172</v>
      </c>
      <c r="DA8" s="292">
        <f t="shared" si="24"/>
        <v>7857172</v>
      </c>
      <c r="DG8" s="501" t="s">
        <v>434</v>
      </c>
      <c r="DH8" s="316" t="s">
        <v>127</v>
      </c>
      <c r="DI8" s="502">
        <v>0</v>
      </c>
      <c r="DJ8" s="502">
        <v>7857172000</v>
      </c>
      <c r="DK8" s="502">
        <v>7857172000</v>
      </c>
      <c r="DL8" s="503">
        <f t="shared" si="25"/>
        <v>0</v>
      </c>
      <c r="DM8" s="503">
        <f t="shared" si="8"/>
        <v>7857172</v>
      </c>
      <c r="DN8" s="503">
        <f t="shared" si="8"/>
        <v>7857172</v>
      </c>
      <c r="DQ8" s="280" t="s">
        <v>434</v>
      </c>
      <c r="DR8" s="280" t="s">
        <v>127</v>
      </c>
      <c r="DS8" s="362">
        <v>0</v>
      </c>
      <c r="DT8" s="362">
        <v>7857172000</v>
      </c>
      <c r="DU8" s="362">
        <v>7857172000</v>
      </c>
      <c r="DV8" s="362">
        <f t="shared" si="9"/>
        <v>0</v>
      </c>
      <c r="DW8" s="362">
        <f t="shared" si="26"/>
        <v>7857172</v>
      </c>
      <c r="DX8" s="362">
        <f>DU8/$DW$1*$DX$1</f>
        <v>7857172</v>
      </c>
      <c r="DZ8" s="93" t="s">
        <v>434</v>
      </c>
      <c r="EA8" s="93" t="s">
        <v>127</v>
      </c>
      <c r="EB8" s="77">
        <v>0</v>
      </c>
      <c r="EC8" s="77">
        <v>7857172000</v>
      </c>
      <c r="ED8" s="77">
        <v>7857172000</v>
      </c>
      <c r="EE8" s="293">
        <f t="shared" si="27"/>
        <v>0</v>
      </c>
      <c r="EF8" s="293">
        <f t="shared" si="28"/>
        <v>7857172</v>
      </c>
      <c r="EG8" s="293">
        <f t="shared" si="29"/>
        <v>7857172</v>
      </c>
      <c r="EN8" s="93" t="s">
        <v>434</v>
      </c>
      <c r="EO8" s="508" t="s">
        <v>127</v>
      </c>
      <c r="EP8" s="77">
        <v>0</v>
      </c>
      <c r="EQ8" s="77">
        <v>7857172000</v>
      </c>
      <c r="ER8" s="77">
        <v>7857172000</v>
      </c>
      <c r="ES8" s="293">
        <f t="shared" si="30"/>
        <v>0</v>
      </c>
      <c r="ET8" s="293">
        <f t="shared" si="31"/>
        <v>7857172</v>
      </c>
      <c r="EU8" s="293">
        <f t="shared" si="32"/>
        <v>7857172</v>
      </c>
    </row>
    <row r="9" spans="1:151" ht="15" x14ac:dyDescent="0.25">
      <c r="DL9" s="306">
        <f>SUM(DL3:DL8)</f>
        <v>57733076.200000003</v>
      </c>
      <c r="DM9" s="306">
        <f t="shared" ref="DM9:DN9" si="33">SUM(DM3:DM8)</f>
        <v>10191593</v>
      </c>
      <c r="DN9" s="306">
        <f t="shared" si="33"/>
        <v>10191593</v>
      </c>
      <c r="DZ9" s="25"/>
      <c r="EA9" s="407"/>
      <c r="EB9" s="25"/>
      <c r="EC9" s="25"/>
      <c r="ED9" s="25"/>
      <c r="EE9" s="293">
        <f>SUM(EE3:EE8)</f>
        <v>18124324.199999999</v>
      </c>
      <c r="EF9" s="293">
        <f t="shared" ref="EF9:EG9" si="34">SUM(EF3:EF8)</f>
        <v>10191593</v>
      </c>
      <c r="EG9" s="293">
        <f t="shared" si="34"/>
        <v>10191593</v>
      </c>
    </row>
  </sheetData>
  <mergeCells count="23">
    <mergeCell ref="EN1:EQ1"/>
    <mergeCell ref="DZ1:ED1"/>
    <mergeCell ref="BO2:BQ2"/>
    <mergeCell ref="BS1:BW1"/>
    <mergeCell ref="CP1:CR1"/>
    <mergeCell ref="CP2:CR2"/>
    <mergeCell ref="CT1:CX1"/>
    <mergeCell ref="CC2:CE2"/>
    <mergeCell ref="CC1:CE1"/>
    <mergeCell ref="CG1:CL1"/>
    <mergeCell ref="BO1:BQ1"/>
    <mergeCell ref="DQ1:DR1"/>
    <mergeCell ref="DC1:DE1"/>
    <mergeCell ref="DG1:DL1"/>
    <mergeCell ref="A1:E1"/>
    <mergeCell ref="Y1:AB1"/>
    <mergeCell ref="AF1:AK1"/>
    <mergeCell ref="BB1:BD1"/>
    <mergeCell ref="BF1:BK1"/>
    <mergeCell ref="AO1:AQ1"/>
    <mergeCell ref="AS1:AW1"/>
    <mergeCell ref="J1:N1"/>
    <mergeCell ref="P1:U1"/>
  </mergeCells>
  <pageMargins left="0.7" right="0.7" top="0.75" bottom="0.75" header="0.3" footer="0.3"/>
  <pageSetup paperSize="9" orientation="portrait" horizontalDpi="0" verticalDpi="0" r:id="rId1"/>
  <ignoredErrors>
    <ignoredError sqref="DQ3:DQ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5DFDD"/>
  </sheetPr>
  <dimension ref="A1:HL57"/>
  <sheetViews>
    <sheetView showGridLines="0" topLeftCell="K1" zoomScale="80" zoomScaleNormal="80" workbookViewId="0">
      <selection activeCell="FJ18" sqref="FJ18"/>
    </sheetView>
  </sheetViews>
  <sheetFormatPr baseColWidth="10" defaultColWidth="11.42578125" defaultRowHeight="15" x14ac:dyDescent="0.25"/>
  <cols>
    <col min="1" max="1" width="19.5703125" style="280" hidden="1" customWidth="1"/>
    <col min="2" max="2" width="28.42578125" style="289" hidden="1" customWidth="1"/>
    <col min="3" max="3" width="17.42578125" style="280" hidden="1" customWidth="1"/>
    <col min="4" max="4" width="24.7109375" style="289" hidden="1" customWidth="1"/>
    <col min="5" max="10" width="17.42578125" style="280" hidden="1" customWidth="1"/>
    <col min="11" max="11" width="5" style="280" customWidth="1"/>
    <col min="12" max="12" width="0" style="280" hidden="1" customWidth="1"/>
    <col min="13" max="13" width="17.140625" style="280" customWidth="1"/>
    <col min="14" max="14" width="24.85546875" style="289" customWidth="1"/>
    <col min="15" max="15" width="12.85546875" style="280" customWidth="1"/>
    <col min="16" max="16" width="21.7109375" style="280" customWidth="1"/>
    <col min="17" max="17" width="12.85546875" style="280" hidden="1" customWidth="1"/>
    <col min="18" max="18" width="12.5703125" style="280" customWidth="1"/>
    <col min="19" max="19" width="6.140625" style="280" customWidth="1"/>
    <col min="20" max="20" width="12.42578125" style="280" customWidth="1"/>
    <col min="21" max="21" width="16.5703125" style="289" customWidth="1"/>
    <col min="22" max="22" width="16.42578125" style="280" customWidth="1"/>
    <col min="23" max="23" width="13.85546875" style="289" customWidth="1"/>
    <col min="24" max="26" width="11.42578125" style="280" hidden="1" customWidth="1"/>
    <col min="27" max="27" width="13.7109375" style="280" customWidth="1"/>
    <col min="28" max="28" width="14" style="280" customWidth="1"/>
    <col min="29" max="29" width="10" style="280" customWidth="1"/>
    <col min="30" max="30" width="11.42578125" style="280" customWidth="1"/>
    <col min="31" max="38" width="11.42578125" style="280" hidden="1" customWidth="1"/>
    <col min="39" max="39" width="7.5703125" style="280" hidden="1" customWidth="1"/>
    <col min="40" max="42" width="11.42578125" style="280" hidden="1" customWidth="1"/>
    <col min="43" max="43" width="23.85546875" style="280" hidden="1" customWidth="1"/>
    <col min="44" max="46" width="11.42578125" style="301" hidden="1" customWidth="1"/>
    <col min="47" max="51" width="11.42578125" style="280" hidden="1" customWidth="1"/>
    <col min="52" max="52" width="26.42578125" style="280" hidden="1" customWidth="1"/>
    <col min="53" max="53" width="11.42578125" style="280" hidden="1" customWidth="1"/>
    <col min="54" max="54" width="9.42578125" style="280" hidden="1" customWidth="1"/>
    <col min="55" max="58" width="11.42578125" style="280" hidden="1" customWidth="1"/>
    <col min="59" max="59" width="15.7109375" style="280" hidden="1" customWidth="1"/>
    <col min="60" max="60" width="11.42578125" style="280" hidden="1" customWidth="1"/>
    <col min="61" max="61" width="11.42578125" style="289" hidden="1" customWidth="1"/>
    <col min="62" max="70" width="11.42578125" style="280" hidden="1" customWidth="1"/>
    <col min="71" max="71" width="18.7109375" style="289" hidden="1" customWidth="1"/>
    <col min="72" max="72" width="15.7109375" style="280" hidden="1" customWidth="1"/>
    <col min="73" max="73" width="15" style="280" hidden="1" customWidth="1"/>
    <col min="74" max="95" width="11.42578125" style="280" hidden="1" customWidth="1"/>
    <col min="96" max="96" width="9.7109375" style="280" hidden="1" customWidth="1"/>
    <col min="97" max="97" width="14.140625" style="280" hidden="1" customWidth="1"/>
    <col min="98" max="99" width="11.42578125" style="280" hidden="1" customWidth="1"/>
    <col min="100" max="102" width="14.5703125" style="280" hidden="1" customWidth="1"/>
    <col min="103" max="107" width="11.42578125" style="280" hidden="1" customWidth="1"/>
    <col min="108" max="108" width="26.85546875" style="280" hidden="1" customWidth="1"/>
    <col min="109" max="115" width="11.42578125" style="280" hidden="1" customWidth="1"/>
    <col min="116" max="116" width="11.42578125" style="289" hidden="1" customWidth="1"/>
    <col min="117" max="117" width="11.42578125" style="280" hidden="1" customWidth="1"/>
    <col min="118" max="118" width="22.28515625" style="289" hidden="1" customWidth="1"/>
    <col min="119" max="126" width="11.42578125" style="280" hidden="1" customWidth="1"/>
    <col min="127" max="127" width="8.85546875" style="280" hidden="1" customWidth="1"/>
    <col min="128" max="128" width="17.140625" style="402" hidden="1" customWidth="1"/>
    <col min="129" max="129" width="11" style="280" hidden="1" customWidth="1"/>
    <col min="130" max="130" width="17.140625" style="403" hidden="1" customWidth="1"/>
    <col min="131" max="131" width="17.140625" style="280" hidden="1" customWidth="1"/>
    <col min="132" max="132" width="8.140625" style="280" hidden="1" customWidth="1"/>
    <col min="133" max="135" width="11.42578125" style="280" hidden="1" customWidth="1"/>
    <col min="136" max="136" width="20.7109375" style="289" hidden="1" customWidth="1"/>
    <col min="137" max="137" width="11.42578125" style="289" hidden="1" customWidth="1"/>
    <col min="138" max="138" width="18.7109375" style="289" hidden="1" customWidth="1"/>
    <col min="139" max="141" width="11.42578125" style="280" hidden="1" customWidth="1"/>
    <col min="142" max="144" width="11.42578125" style="362" hidden="1" customWidth="1"/>
    <col min="145" max="147" width="11.42578125" style="280" hidden="1" customWidth="1"/>
    <col min="148" max="148" width="43.5703125" style="289" hidden="1" customWidth="1"/>
    <col min="149" max="155" width="11.42578125" style="280" hidden="1" customWidth="1"/>
    <col min="156" max="158" width="11.42578125" style="289" hidden="1" customWidth="1"/>
    <col min="159" max="164" width="11.42578125" style="280" hidden="1" customWidth="1"/>
    <col min="165" max="165" width="0" style="280" hidden="1" customWidth="1"/>
    <col min="166" max="166" width="11.42578125" style="280"/>
    <col min="167" max="167" width="12" style="280" hidden="1" customWidth="1"/>
    <col min="168" max="168" width="47.85546875" style="280" hidden="1" customWidth="1"/>
    <col min="169" max="169" width="11.28515625" style="280" hidden="1" customWidth="1"/>
    <col min="170" max="170" width="35" style="280" hidden="1" customWidth="1"/>
    <col min="171" max="171" width="14.28515625" style="280" hidden="1" customWidth="1"/>
    <col min="172" max="172" width="20.28515625" style="280" hidden="1" customWidth="1"/>
    <col min="173" max="173" width="0" style="280" hidden="1" customWidth="1"/>
    <col min="174" max="174" width="12" style="280" hidden="1" customWidth="1"/>
    <col min="175" max="175" width="47.85546875" style="280" hidden="1" customWidth="1"/>
    <col min="176" max="176" width="11.28515625" style="280" hidden="1" customWidth="1"/>
    <col min="177" max="177" width="44.85546875" style="280" hidden="1" customWidth="1"/>
    <col min="178" max="180" width="18.140625" style="280" hidden="1" customWidth="1"/>
    <col min="181" max="183" width="17.140625" style="280" hidden="1" customWidth="1"/>
    <col min="184" max="186" width="0" style="280" hidden="1" customWidth="1"/>
    <col min="187" max="187" width="28.5703125" style="280" hidden="1" customWidth="1"/>
    <col min="188" max="196" width="0" style="280" hidden="1" customWidth="1"/>
    <col min="197" max="199" width="0" style="357" hidden="1" customWidth="1"/>
    <col min="200" max="204" width="0" style="280" hidden="1" customWidth="1"/>
    <col min="205" max="206" width="0" style="403" hidden="1" customWidth="1"/>
    <col min="207" max="207" width="21.7109375" style="403" hidden="1" customWidth="1"/>
    <col min="208" max="211" width="0" style="280" hidden="1" customWidth="1"/>
    <col min="212" max="212" width="17" style="280" hidden="1" customWidth="1"/>
    <col min="213" max="213" width="0" style="280" hidden="1" customWidth="1"/>
    <col min="214" max="214" width="27.85546875" style="280" hidden="1" customWidth="1"/>
    <col min="215" max="217" width="13.28515625" style="305" hidden="1" customWidth="1"/>
    <col min="218" max="218" width="0" style="60" hidden="1" customWidth="1"/>
    <col min="219" max="220" width="0" style="305" hidden="1" customWidth="1"/>
    <col min="221" max="16384" width="11.42578125" style="280"/>
  </cols>
  <sheetData>
    <row r="1" spans="1:220" s="356" customFormat="1" ht="12" x14ac:dyDescent="0.2">
      <c r="A1" s="1313" t="s">
        <v>898</v>
      </c>
      <c r="B1" s="1312"/>
      <c r="C1" s="1312"/>
      <c r="D1" s="1312"/>
      <c r="H1" s="356">
        <v>1000</v>
      </c>
      <c r="I1" s="356">
        <v>1.042</v>
      </c>
      <c r="M1" s="1312" t="s">
        <v>136</v>
      </c>
      <c r="N1" s="1312"/>
      <c r="O1" s="1312"/>
      <c r="P1" s="1312"/>
      <c r="Q1" s="356">
        <v>1000</v>
      </c>
      <c r="R1" s="356">
        <v>1.042</v>
      </c>
      <c r="T1" s="1312" t="s">
        <v>909</v>
      </c>
      <c r="U1" s="1312"/>
      <c r="V1" s="1312"/>
      <c r="W1" s="1312"/>
      <c r="X1" s="1312"/>
      <c r="Y1" s="1312"/>
      <c r="Z1" s="1312"/>
      <c r="AB1" s="356">
        <v>1000</v>
      </c>
      <c r="AC1" s="356">
        <v>1.042</v>
      </c>
      <c r="AE1" s="1312" t="s">
        <v>6</v>
      </c>
      <c r="AF1" s="1312"/>
      <c r="AG1" s="1312"/>
      <c r="AH1" s="1312"/>
      <c r="AI1" s="1312"/>
      <c r="AJ1" s="356">
        <v>1000</v>
      </c>
      <c r="AK1" s="356">
        <v>1</v>
      </c>
      <c r="AM1" s="1312" t="s">
        <v>836</v>
      </c>
      <c r="AN1" s="1312"/>
      <c r="AO1" s="1312"/>
      <c r="AP1" s="1312"/>
      <c r="AQ1" s="1312"/>
      <c r="AR1" s="1312"/>
      <c r="AS1" s="1312"/>
      <c r="AT1" s="1312"/>
      <c r="AU1" s="1312"/>
      <c r="AV1" s="356">
        <v>1000</v>
      </c>
      <c r="AW1" s="356">
        <v>1</v>
      </c>
      <c r="AY1" s="1312" t="s">
        <v>7</v>
      </c>
      <c r="AZ1" s="1312"/>
      <c r="BA1" s="1312"/>
      <c r="BB1" s="1312"/>
      <c r="BC1" s="356">
        <v>1000</v>
      </c>
      <c r="BD1" s="356">
        <v>1</v>
      </c>
      <c r="BF1" s="1312" t="s">
        <v>931</v>
      </c>
      <c r="BG1" s="1312"/>
      <c r="BH1" s="1312"/>
      <c r="BI1" s="1312"/>
      <c r="BJ1" s="1312"/>
      <c r="BK1" s="1312"/>
      <c r="BL1" s="1312"/>
      <c r="BM1" s="356">
        <v>1000</v>
      </c>
      <c r="BN1" s="356">
        <v>1</v>
      </c>
      <c r="BR1" s="1312" t="s">
        <v>843</v>
      </c>
      <c r="BS1" s="1312"/>
      <c r="BT1" s="1312"/>
      <c r="BU1" s="356">
        <v>1000</v>
      </c>
      <c r="BV1" s="356">
        <v>1</v>
      </c>
      <c r="BY1" s="1312" t="s">
        <v>843</v>
      </c>
      <c r="BZ1" s="1312"/>
      <c r="CA1" s="1312"/>
      <c r="CB1" s="1312"/>
      <c r="CC1" s="1312"/>
      <c r="CD1" s="1312"/>
      <c r="CE1" s="1312"/>
      <c r="CF1" s="1312"/>
      <c r="CG1" s="1312"/>
      <c r="CH1" s="356">
        <v>1000</v>
      </c>
      <c r="CI1" s="356">
        <v>1</v>
      </c>
      <c r="CK1" s="1312" t="s">
        <v>9</v>
      </c>
      <c r="CL1" s="1312"/>
      <c r="CM1" s="1312"/>
      <c r="CN1" s="1312"/>
      <c r="CO1" s="356">
        <v>1000</v>
      </c>
      <c r="CP1" s="356">
        <v>1</v>
      </c>
      <c r="CR1" s="1312" t="s">
        <v>853</v>
      </c>
      <c r="CS1" s="1312"/>
      <c r="CT1" s="1312"/>
      <c r="CU1" s="1312"/>
      <c r="CV1" s="1312"/>
      <c r="CW1" s="1312"/>
      <c r="CX1" s="1312"/>
      <c r="CY1" s="356">
        <v>1000</v>
      </c>
      <c r="CZ1" s="356">
        <v>1</v>
      </c>
      <c r="DC1" s="1312" t="s">
        <v>79</v>
      </c>
      <c r="DD1" s="1312"/>
      <c r="DE1" s="1312"/>
      <c r="DF1" s="1312"/>
      <c r="DG1" s="1312"/>
      <c r="DH1" s="356">
        <v>1000</v>
      </c>
      <c r="DI1" s="356">
        <v>1</v>
      </c>
      <c r="DK1" s="1312" t="s">
        <v>943</v>
      </c>
      <c r="DL1" s="1312"/>
      <c r="DM1" s="1312"/>
      <c r="DN1" s="1312"/>
      <c r="DO1" s="1312"/>
      <c r="DP1" s="1312"/>
      <c r="DQ1" s="1312"/>
      <c r="DR1" s="1312"/>
      <c r="DS1" s="356">
        <v>1000</v>
      </c>
      <c r="DT1" s="356">
        <v>1</v>
      </c>
      <c r="DW1" s="1312" t="s">
        <v>10</v>
      </c>
      <c r="DX1" s="1312"/>
      <c r="DY1" s="1312"/>
      <c r="DZ1" s="1312"/>
      <c r="EA1" s="356">
        <v>1000</v>
      </c>
      <c r="EB1" s="356">
        <v>1</v>
      </c>
      <c r="EE1" s="1312" t="s">
        <v>742</v>
      </c>
      <c r="EF1" s="1312"/>
      <c r="EG1" s="1312"/>
      <c r="EH1" s="1312"/>
      <c r="EL1" s="385">
        <v>1000</v>
      </c>
      <c r="EM1" s="385">
        <v>1</v>
      </c>
      <c r="EN1" s="385"/>
      <c r="EQ1" s="1309" t="s">
        <v>11</v>
      </c>
      <c r="ER1" s="1309"/>
      <c r="ES1" s="1309"/>
      <c r="ET1" s="1309"/>
      <c r="EU1" s="1309"/>
      <c r="EV1" s="280">
        <v>1000</v>
      </c>
      <c r="EW1" s="280">
        <v>1</v>
      </c>
      <c r="EX1" s="280"/>
      <c r="EY1" s="1309" t="s">
        <v>970</v>
      </c>
      <c r="EZ1" s="1309"/>
      <c r="FA1" s="1309"/>
      <c r="FB1" s="1309"/>
      <c r="FC1" s="1309"/>
      <c r="FD1" s="1309"/>
      <c r="FE1" s="1309"/>
      <c r="FF1" s="280"/>
      <c r="FG1" s="357">
        <v>1000</v>
      </c>
      <c r="FH1" s="280">
        <v>1</v>
      </c>
      <c r="FI1" s="280"/>
      <c r="FK1" s="1312" t="s">
        <v>980</v>
      </c>
      <c r="FL1" s="1312"/>
      <c r="FM1" s="1312"/>
      <c r="FN1" s="1312"/>
      <c r="FO1" s="280">
        <v>1000</v>
      </c>
      <c r="FP1" s="280">
        <v>1</v>
      </c>
      <c r="FR1" s="1312" t="s">
        <v>976</v>
      </c>
      <c r="FS1" s="1312"/>
      <c r="FT1" s="1312"/>
      <c r="FU1" s="1312"/>
      <c r="GA1" s="280">
        <v>1000</v>
      </c>
      <c r="GB1" s="280">
        <v>1</v>
      </c>
      <c r="GD1" s="1312" t="s">
        <v>988</v>
      </c>
      <c r="GE1" s="1312"/>
      <c r="GF1" s="1312"/>
      <c r="GG1" s="1312"/>
      <c r="GH1" s="356">
        <v>1000</v>
      </c>
      <c r="GI1" s="356">
        <v>1</v>
      </c>
      <c r="GK1" s="1312" t="s">
        <v>989</v>
      </c>
      <c r="GL1" s="1312"/>
      <c r="GM1" s="1312"/>
      <c r="GN1" s="1312"/>
      <c r="GO1" s="1312"/>
      <c r="GP1" s="1312"/>
      <c r="GQ1" s="1312"/>
      <c r="GR1" s="1312"/>
      <c r="GS1" s="356">
        <v>1000</v>
      </c>
      <c r="GT1" s="356">
        <v>1</v>
      </c>
      <c r="GV1" s="1312" t="s">
        <v>14</v>
      </c>
      <c r="GW1" s="1312"/>
      <c r="GX1" s="1312"/>
      <c r="GY1" s="1312"/>
      <c r="GZ1" s="356">
        <v>1000</v>
      </c>
      <c r="HA1" s="356">
        <v>1</v>
      </c>
      <c r="HC1" s="1312" t="s">
        <v>1001</v>
      </c>
      <c r="HD1" s="1312"/>
      <c r="HE1" s="1312"/>
      <c r="HF1" s="1312"/>
      <c r="HG1" s="1312"/>
      <c r="HH1" s="1312"/>
      <c r="HI1" s="1312"/>
      <c r="HJ1" s="1312"/>
      <c r="HK1" s="496">
        <v>1000</v>
      </c>
      <c r="HL1" s="496">
        <v>1</v>
      </c>
    </row>
    <row r="2" spans="1:220" s="388" customFormat="1" ht="40.5" customHeight="1" x14ac:dyDescent="0.2">
      <c r="A2" s="386" t="s">
        <v>410</v>
      </c>
      <c r="B2" s="387" t="s">
        <v>435</v>
      </c>
      <c r="C2" s="386" t="s">
        <v>411</v>
      </c>
      <c r="D2" s="387" t="s">
        <v>505</v>
      </c>
      <c r="E2" s="386" t="s">
        <v>447</v>
      </c>
      <c r="F2" s="386" t="s">
        <v>466</v>
      </c>
      <c r="G2" s="386" t="s">
        <v>413</v>
      </c>
      <c r="H2" s="386" t="s">
        <v>1036</v>
      </c>
      <c r="I2" s="386" t="s">
        <v>1037</v>
      </c>
      <c r="J2" s="386" t="s">
        <v>1038</v>
      </c>
      <c r="M2" s="389" t="s">
        <v>410</v>
      </c>
      <c r="N2" s="390" t="s">
        <v>435</v>
      </c>
      <c r="O2" s="389" t="s">
        <v>411</v>
      </c>
      <c r="P2" s="389" t="s">
        <v>505</v>
      </c>
      <c r="Q2" s="389" t="s">
        <v>413</v>
      </c>
      <c r="R2" s="389" t="s">
        <v>929</v>
      </c>
      <c r="T2" s="389" t="s">
        <v>410</v>
      </c>
      <c r="U2" s="389" t="s">
        <v>435</v>
      </c>
      <c r="V2" s="389" t="s">
        <v>411</v>
      </c>
      <c r="W2" s="390" t="s">
        <v>505</v>
      </c>
      <c r="X2" s="389" t="s">
        <v>447</v>
      </c>
      <c r="Y2" s="389" t="s">
        <v>466</v>
      </c>
      <c r="Z2" s="389" t="s">
        <v>413</v>
      </c>
      <c r="AA2" s="389" t="s">
        <v>924</v>
      </c>
      <c r="AB2" s="389" t="s">
        <v>930</v>
      </c>
      <c r="AC2" s="389" t="s">
        <v>929</v>
      </c>
      <c r="AE2" s="389" t="s">
        <v>410</v>
      </c>
      <c r="AF2" s="389" t="s">
        <v>435</v>
      </c>
      <c r="AG2" s="389" t="s">
        <v>411</v>
      </c>
      <c r="AH2" s="389" t="s">
        <v>505</v>
      </c>
      <c r="AI2" s="389" t="s">
        <v>412</v>
      </c>
      <c r="AJ2" s="389" t="s">
        <v>413</v>
      </c>
      <c r="AK2" s="389" t="s">
        <v>413</v>
      </c>
      <c r="AM2" s="389" t="s">
        <v>410</v>
      </c>
      <c r="AN2" s="389" t="s">
        <v>435</v>
      </c>
      <c r="AO2" s="389" t="s">
        <v>411</v>
      </c>
      <c r="AP2" s="389" t="s">
        <v>505</v>
      </c>
      <c r="AQ2" s="389" t="s">
        <v>412</v>
      </c>
      <c r="AR2" s="389" t="s">
        <v>447</v>
      </c>
      <c r="AS2" s="389" t="s">
        <v>466</v>
      </c>
      <c r="AT2" s="389" t="s">
        <v>413</v>
      </c>
      <c r="AU2" s="389" t="s">
        <v>447</v>
      </c>
      <c r="AV2" s="389" t="s">
        <v>466</v>
      </c>
      <c r="AW2" s="389" t="s">
        <v>413</v>
      </c>
      <c r="AY2" s="389" t="s">
        <v>410</v>
      </c>
      <c r="AZ2" s="389" t="s">
        <v>435</v>
      </c>
      <c r="BA2" s="389" t="s">
        <v>411</v>
      </c>
      <c r="BB2" s="389" t="s">
        <v>505</v>
      </c>
      <c r="BC2" s="389" t="s">
        <v>413</v>
      </c>
      <c r="BD2" s="389" t="s">
        <v>929</v>
      </c>
      <c r="BF2" s="389" t="s">
        <v>410</v>
      </c>
      <c r="BG2" s="389" t="s">
        <v>435</v>
      </c>
      <c r="BH2" s="389" t="s">
        <v>411</v>
      </c>
      <c r="BI2" s="389" t="s">
        <v>505</v>
      </c>
      <c r="BJ2" s="389" t="s">
        <v>447</v>
      </c>
      <c r="BK2" s="389" t="s">
        <v>466</v>
      </c>
      <c r="BL2" s="389" t="s">
        <v>413</v>
      </c>
      <c r="BM2" s="389" t="s">
        <v>924</v>
      </c>
      <c r="BN2" s="389" t="s">
        <v>930</v>
      </c>
      <c r="BO2" s="389" t="s">
        <v>929</v>
      </c>
      <c r="BR2" s="389" t="s">
        <v>410</v>
      </c>
      <c r="BS2" s="389" t="s">
        <v>435</v>
      </c>
      <c r="BT2" s="389" t="s">
        <v>411</v>
      </c>
      <c r="BU2" s="389" t="s">
        <v>505</v>
      </c>
      <c r="BV2" s="389" t="s">
        <v>413</v>
      </c>
      <c r="BW2" s="389" t="s">
        <v>929</v>
      </c>
      <c r="BY2" s="389" t="s">
        <v>410</v>
      </c>
      <c r="BZ2" s="389" t="s">
        <v>435</v>
      </c>
      <c r="CA2" s="389" t="s">
        <v>411</v>
      </c>
      <c r="CB2" s="389" t="s">
        <v>505</v>
      </c>
      <c r="CC2" s="389" t="s">
        <v>412</v>
      </c>
      <c r="CD2" s="389" t="s">
        <v>447</v>
      </c>
      <c r="CE2" s="389" t="s">
        <v>466</v>
      </c>
      <c r="CF2" s="389" t="s">
        <v>413</v>
      </c>
      <c r="CG2" s="389" t="s">
        <v>924</v>
      </c>
      <c r="CH2" s="389" t="s">
        <v>930</v>
      </c>
      <c r="CI2" s="389" t="s">
        <v>929</v>
      </c>
      <c r="CK2" s="389" t="s">
        <v>410</v>
      </c>
      <c r="CL2" s="389" t="s">
        <v>435</v>
      </c>
      <c r="CM2" s="389" t="s">
        <v>411</v>
      </c>
      <c r="CN2" s="389" t="s">
        <v>505</v>
      </c>
      <c r="CO2" s="389" t="s">
        <v>413</v>
      </c>
      <c r="CP2" s="389" t="s">
        <v>929</v>
      </c>
      <c r="CR2" s="389" t="s">
        <v>410</v>
      </c>
      <c r="CS2" s="389" t="s">
        <v>435</v>
      </c>
      <c r="CT2" s="389" t="s">
        <v>411</v>
      </c>
      <c r="CU2" s="389" t="s">
        <v>505</v>
      </c>
      <c r="CV2" s="389" t="s">
        <v>447</v>
      </c>
      <c r="CW2" s="389" t="s">
        <v>466</v>
      </c>
      <c r="CX2" s="389" t="s">
        <v>413</v>
      </c>
      <c r="CY2" s="389" t="s">
        <v>924</v>
      </c>
      <c r="CZ2" s="389" t="s">
        <v>930</v>
      </c>
      <c r="DA2" s="389" t="s">
        <v>929</v>
      </c>
      <c r="DC2" s="389" t="s">
        <v>410</v>
      </c>
      <c r="DD2" s="389" t="s">
        <v>435</v>
      </c>
      <c r="DE2" s="389" t="s">
        <v>411</v>
      </c>
      <c r="DF2" s="389" t="s">
        <v>505</v>
      </c>
      <c r="DG2" s="389" t="s">
        <v>413</v>
      </c>
      <c r="DH2" s="389" t="s">
        <v>929</v>
      </c>
      <c r="DK2" s="389" t="s">
        <v>410</v>
      </c>
      <c r="DL2" s="389" t="s">
        <v>435</v>
      </c>
      <c r="DM2" s="389" t="s">
        <v>411</v>
      </c>
      <c r="DN2" s="389" t="s">
        <v>505</v>
      </c>
      <c r="DO2" s="389" t="s">
        <v>447</v>
      </c>
      <c r="DP2" s="389" t="s">
        <v>466</v>
      </c>
      <c r="DQ2" s="389" t="s">
        <v>413</v>
      </c>
      <c r="DR2" s="389" t="s">
        <v>924</v>
      </c>
      <c r="DS2" s="389" t="s">
        <v>930</v>
      </c>
      <c r="DT2" s="389" t="s">
        <v>929</v>
      </c>
      <c r="DW2" s="386" t="s">
        <v>410</v>
      </c>
      <c r="DX2" s="387" t="s">
        <v>435</v>
      </c>
      <c r="DY2" s="386" t="s">
        <v>411</v>
      </c>
      <c r="DZ2" s="386" t="s">
        <v>505</v>
      </c>
      <c r="EA2" s="386" t="s">
        <v>413</v>
      </c>
      <c r="EB2" s="386" t="s">
        <v>929</v>
      </c>
      <c r="EE2" s="386" t="s">
        <v>410</v>
      </c>
      <c r="EF2" s="386" t="s">
        <v>435</v>
      </c>
      <c r="EG2" s="386" t="s">
        <v>411</v>
      </c>
      <c r="EH2" s="386" t="s">
        <v>505</v>
      </c>
      <c r="EI2" s="386" t="s">
        <v>447</v>
      </c>
      <c r="EJ2" s="386" t="s">
        <v>466</v>
      </c>
      <c r="EK2" s="386" t="s">
        <v>413</v>
      </c>
      <c r="EL2" s="391" t="s">
        <v>924</v>
      </c>
      <c r="EM2" s="391" t="s">
        <v>930</v>
      </c>
      <c r="EN2" s="391" t="s">
        <v>929</v>
      </c>
      <c r="EQ2" s="497" t="s">
        <v>410</v>
      </c>
      <c r="ER2" s="498" t="s">
        <v>435</v>
      </c>
      <c r="ES2" s="497" t="s">
        <v>411</v>
      </c>
      <c r="ET2" s="497" t="s">
        <v>505</v>
      </c>
      <c r="EU2" s="497" t="s">
        <v>413</v>
      </c>
      <c r="EV2" s="497" t="s">
        <v>929</v>
      </c>
      <c r="EY2" s="497" t="s">
        <v>410</v>
      </c>
      <c r="EZ2" s="497" t="s">
        <v>435</v>
      </c>
      <c r="FA2" s="497" t="s">
        <v>411</v>
      </c>
      <c r="FB2" s="497" t="s">
        <v>505</v>
      </c>
      <c r="FC2" s="497" t="s">
        <v>447</v>
      </c>
      <c r="FD2" s="497" t="s">
        <v>413</v>
      </c>
      <c r="FE2" s="497" t="s">
        <v>466</v>
      </c>
      <c r="FF2" s="497" t="s">
        <v>924</v>
      </c>
      <c r="FG2" s="499" t="s">
        <v>939</v>
      </c>
      <c r="FH2" s="497" t="s">
        <v>938</v>
      </c>
      <c r="FK2" s="497" t="s">
        <v>410</v>
      </c>
      <c r="FL2" s="497" t="s">
        <v>435</v>
      </c>
      <c r="FM2" s="497" t="s">
        <v>411</v>
      </c>
      <c r="FN2" s="497" t="s">
        <v>505</v>
      </c>
      <c r="FO2" s="497" t="s">
        <v>413</v>
      </c>
      <c r="FP2" s="497" t="s">
        <v>929</v>
      </c>
      <c r="FR2" s="497" t="s">
        <v>410</v>
      </c>
      <c r="FS2" s="497" t="s">
        <v>435</v>
      </c>
      <c r="FT2" s="497" t="s">
        <v>411</v>
      </c>
      <c r="FU2" s="497" t="s">
        <v>505</v>
      </c>
      <c r="FV2" s="497" t="s">
        <v>447</v>
      </c>
      <c r="FW2" s="497" t="s">
        <v>466</v>
      </c>
      <c r="FX2" s="497" t="s">
        <v>413</v>
      </c>
      <c r="FY2" s="497" t="s">
        <v>977</v>
      </c>
      <c r="FZ2" s="497" t="s">
        <v>978</v>
      </c>
      <c r="GA2" s="497" t="s">
        <v>979</v>
      </c>
      <c r="GD2" s="497" t="s">
        <v>410</v>
      </c>
      <c r="GE2" s="497" t="s">
        <v>435</v>
      </c>
      <c r="GF2" s="497" t="s">
        <v>411</v>
      </c>
      <c r="GG2" s="497" t="s">
        <v>505</v>
      </c>
      <c r="GH2" s="497" t="s">
        <v>413</v>
      </c>
      <c r="GI2" s="497" t="s">
        <v>929</v>
      </c>
      <c r="GK2" s="497" t="s">
        <v>410</v>
      </c>
      <c r="GL2" s="497" t="s">
        <v>435</v>
      </c>
      <c r="GM2" s="497" t="s">
        <v>411</v>
      </c>
      <c r="GN2" s="497" t="s">
        <v>505</v>
      </c>
      <c r="GO2" s="497" t="s">
        <v>447</v>
      </c>
      <c r="GP2" s="497" t="s">
        <v>466</v>
      </c>
      <c r="GQ2" s="497" t="s">
        <v>413</v>
      </c>
      <c r="GR2" s="497" t="s">
        <v>924</v>
      </c>
      <c r="GS2" s="497" t="s">
        <v>930</v>
      </c>
      <c r="GT2" s="497" t="s">
        <v>929</v>
      </c>
      <c r="GV2" s="497" t="s">
        <v>410</v>
      </c>
      <c r="GW2" s="497" t="s">
        <v>435</v>
      </c>
      <c r="GX2" s="497" t="s">
        <v>411</v>
      </c>
      <c r="GY2" s="497" t="s">
        <v>505</v>
      </c>
      <c r="GZ2" s="497" t="s">
        <v>413</v>
      </c>
      <c r="HA2" s="497" t="s">
        <v>929</v>
      </c>
      <c r="HC2" s="497" t="s">
        <v>410</v>
      </c>
      <c r="HD2" s="497" t="s">
        <v>435</v>
      </c>
      <c r="HE2" s="497" t="s">
        <v>411</v>
      </c>
      <c r="HF2" s="497" t="s">
        <v>505</v>
      </c>
      <c r="HG2" s="497" t="s">
        <v>447</v>
      </c>
      <c r="HH2" s="497" t="s">
        <v>413</v>
      </c>
      <c r="HI2" s="497" t="s">
        <v>466</v>
      </c>
      <c r="HJ2" s="497" t="s">
        <v>924</v>
      </c>
      <c r="HK2" s="497" t="s">
        <v>929</v>
      </c>
      <c r="HL2" s="497" t="s">
        <v>930</v>
      </c>
    </row>
    <row r="3" spans="1:220" ht="15" customHeight="1" x14ac:dyDescent="0.2">
      <c r="A3" s="286" t="s">
        <v>424</v>
      </c>
      <c r="B3" s="288" t="s">
        <v>218</v>
      </c>
      <c r="C3" s="286" t="s">
        <v>474</v>
      </c>
      <c r="D3" s="288" t="s">
        <v>290</v>
      </c>
      <c r="E3" s="287">
        <v>54940335000</v>
      </c>
      <c r="F3" s="287">
        <v>0</v>
      </c>
      <c r="G3" s="287">
        <v>0</v>
      </c>
      <c r="H3" s="287">
        <f>+E3/$H$1*$I$1</f>
        <v>57247829.07</v>
      </c>
      <c r="I3" s="287">
        <f>+F3/$H$1*$I$1</f>
        <v>0</v>
      </c>
      <c r="J3" s="287">
        <f>+G3/$H$1*$I$1</f>
        <v>0</v>
      </c>
      <c r="M3" s="392" t="s">
        <v>424</v>
      </c>
      <c r="N3" s="393" t="s">
        <v>218</v>
      </c>
      <c r="O3" s="392" t="s">
        <v>474</v>
      </c>
      <c r="P3" s="392" t="s">
        <v>290</v>
      </c>
      <c r="Q3" s="394">
        <v>9107771724</v>
      </c>
      <c r="R3" s="394">
        <f>+Q3/$Q$1*$R$1</f>
        <v>9490298.1364079993</v>
      </c>
      <c r="T3" s="395" t="s">
        <v>424</v>
      </c>
      <c r="U3" s="396" t="s">
        <v>218</v>
      </c>
      <c r="V3" s="395" t="s">
        <v>474</v>
      </c>
      <c r="W3" s="396" t="s">
        <v>290</v>
      </c>
      <c r="X3" s="397">
        <v>54940335000</v>
      </c>
      <c r="Y3" s="397">
        <v>0</v>
      </c>
      <c r="Z3" s="397">
        <v>0</v>
      </c>
      <c r="AA3" s="358">
        <f>+X3/$AB$1*$AC$1</f>
        <v>57247829.07</v>
      </c>
      <c r="AB3" s="358">
        <f>+Y3/$AB$1*$AC$1</f>
        <v>0</v>
      </c>
      <c r="AC3" s="358">
        <f>+Z3/$AB$1*$AC$1</f>
        <v>0</v>
      </c>
      <c r="AE3" s="286" t="s">
        <v>424</v>
      </c>
      <c r="AF3" s="286" t="s">
        <v>218</v>
      </c>
      <c r="AG3" s="286" t="s">
        <v>474</v>
      </c>
      <c r="AH3" s="286" t="s">
        <v>290</v>
      </c>
      <c r="AI3" s="288" t="s">
        <v>516</v>
      </c>
      <c r="AJ3" s="287">
        <v>14241415944</v>
      </c>
      <c r="AK3" s="287">
        <f>+AJ3/$AJ$1*$AK$1</f>
        <v>14241415.944</v>
      </c>
      <c r="AM3" s="288" t="s">
        <v>424</v>
      </c>
      <c r="AN3" s="288" t="s">
        <v>218</v>
      </c>
      <c r="AO3" s="288" t="s">
        <v>474</v>
      </c>
      <c r="AP3" s="288" t="s">
        <v>290</v>
      </c>
      <c r="AQ3" s="288" t="s">
        <v>516</v>
      </c>
      <c r="AR3" s="398">
        <v>54940335000</v>
      </c>
      <c r="AS3" s="398">
        <v>0</v>
      </c>
      <c r="AT3" s="398">
        <v>0</v>
      </c>
      <c r="AU3" s="398">
        <f>+AR3/$AV$1*$AW$1</f>
        <v>54940335</v>
      </c>
      <c r="AV3" s="398">
        <f>+AS3/$AV$1*$AW$1</f>
        <v>0</v>
      </c>
      <c r="AW3" s="398">
        <f>+AT3/$AV$1*$AW$1</f>
        <v>0</v>
      </c>
      <c r="AY3" s="365" t="s">
        <v>424</v>
      </c>
      <c r="AZ3" s="288" t="s">
        <v>218</v>
      </c>
      <c r="BA3" s="365" t="s">
        <v>474</v>
      </c>
      <c r="BB3" s="288" t="s">
        <v>290</v>
      </c>
      <c r="BC3" s="366">
        <v>9694536210</v>
      </c>
      <c r="BD3" s="366">
        <f>+BC3/$BC$1*$BD$1</f>
        <v>9694536.2100000009</v>
      </c>
      <c r="BF3" s="365" t="s">
        <v>424</v>
      </c>
      <c r="BG3" s="399" t="s">
        <v>218</v>
      </c>
      <c r="BH3" s="286" t="s">
        <v>474</v>
      </c>
      <c r="BI3" s="288" t="s">
        <v>290</v>
      </c>
      <c r="BJ3" s="366">
        <v>54940335000</v>
      </c>
      <c r="BK3" s="366">
        <v>0</v>
      </c>
      <c r="BL3" s="366">
        <v>0</v>
      </c>
      <c r="BM3" s="366">
        <f>+BJ3/$BM$1*$BN$1</f>
        <v>54940335</v>
      </c>
      <c r="BN3" s="366">
        <f>+BK3/$BM$1*$BN$1</f>
        <v>0</v>
      </c>
      <c r="BO3" s="366">
        <f>+BL3/$BM$1*$BN$1</f>
        <v>0</v>
      </c>
      <c r="BR3" s="365" t="s">
        <v>424</v>
      </c>
      <c r="BS3" s="288" t="s">
        <v>218</v>
      </c>
      <c r="BT3" s="365" t="s">
        <v>474</v>
      </c>
      <c r="BU3" s="286" t="s">
        <v>290</v>
      </c>
      <c r="BV3" s="366">
        <v>1530887554</v>
      </c>
      <c r="BW3" s="366">
        <f>+BV3/$BU$1*$BV$1</f>
        <v>1530887.554</v>
      </c>
      <c r="BY3" s="286" t="s">
        <v>424</v>
      </c>
      <c r="BZ3" s="286" t="s">
        <v>218</v>
      </c>
      <c r="CA3" s="286" t="s">
        <v>474</v>
      </c>
      <c r="CB3" s="286" t="s">
        <v>290</v>
      </c>
      <c r="CC3" s="288" t="s">
        <v>516</v>
      </c>
      <c r="CD3" s="287">
        <v>54940335000</v>
      </c>
      <c r="CE3" s="287">
        <v>0</v>
      </c>
      <c r="CF3" s="287">
        <v>0</v>
      </c>
      <c r="CG3" s="287">
        <f>+CD3/$CH$1*$CI$1</f>
        <v>54940335</v>
      </c>
      <c r="CH3" s="287">
        <f>+CE3/$CH$1*$CI$1</f>
        <v>0</v>
      </c>
      <c r="CI3" s="287">
        <f>+CF3/$CH$1*$CI$1</f>
        <v>0</v>
      </c>
      <c r="CK3" s="288" t="s">
        <v>424</v>
      </c>
      <c r="CL3" s="288" t="s">
        <v>218</v>
      </c>
      <c r="CM3" s="288" t="s">
        <v>474</v>
      </c>
      <c r="CN3" s="288" t="s">
        <v>290</v>
      </c>
      <c r="CO3" s="287">
        <v>20365723568</v>
      </c>
      <c r="CP3" s="287">
        <f>+CO3/$CO$1*$CP$1</f>
        <v>20365723.568</v>
      </c>
      <c r="CR3" s="288" t="s">
        <v>424</v>
      </c>
      <c r="CS3" s="288" t="s">
        <v>218</v>
      </c>
      <c r="CT3" s="288" t="s">
        <v>474</v>
      </c>
      <c r="CU3" s="288" t="s">
        <v>290</v>
      </c>
      <c r="CV3" s="287">
        <v>54940335000</v>
      </c>
      <c r="CW3" s="287">
        <v>0</v>
      </c>
      <c r="CX3" s="287">
        <v>0</v>
      </c>
      <c r="CY3" s="287">
        <f>+CV3/$CY$1*$CZ$1</f>
        <v>54940335</v>
      </c>
      <c r="CZ3" s="287">
        <f t="shared" ref="CZ3:DA3" si="0">+CW3/$CY$1*$CZ$1</f>
        <v>0</v>
      </c>
      <c r="DA3" s="287">
        <f t="shared" si="0"/>
        <v>0</v>
      </c>
      <c r="DC3" s="365" t="s">
        <v>426</v>
      </c>
      <c r="DD3" s="288" t="s">
        <v>861</v>
      </c>
      <c r="DE3" s="365" t="s">
        <v>453</v>
      </c>
      <c r="DF3" s="286" t="s">
        <v>269</v>
      </c>
      <c r="DG3" s="366">
        <v>768372455</v>
      </c>
      <c r="DH3" s="366">
        <f>+DG3/$DH$1*$DI$1</f>
        <v>768372.45499999996</v>
      </c>
      <c r="DK3" s="286" t="s">
        <v>424</v>
      </c>
      <c r="DL3" s="288" t="s">
        <v>218</v>
      </c>
      <c r="DM3" s="286" t="s">
        <v>474</v>
      </c>
      <c r="DN3" s="288" t="s">
        <v>290</v>
      </c>
      <c r="DO3" s="287">
        <v>54940335000</v>
      </c>
      <c r="DP3" s="287">
        <v>0</v>
      </c>
      <c r="DQ3" s="287">
        <v>0</v>
      </c>
      <c r="DR3" s="287">
        <f>+DO3/$DS$1*$DT$1</f>
        <v>54940335</v>
      </c>
      <c r="DS3" s="287">
        <f t="shared" ref="DS3:DT3" si="1">+DP3/$DS$1*$DT$1</f>
        <v>0</v>
      </c>
      <c r="DT3" s="287">
        <f t="shared" si="1"/>
        <v>0</v>
      </c>
      <c r="DW3" s="367" t="s">
        <v>426</v>
      </c>
      <c r="DX3" s="400" t="s">
        <v>861</v>
      </c>
      <c r="DY3" s="367" t="s">
        <v>451</v>
      </c>
      <c r="DZ3" s="401" t="s">
        <v>452</v>
      </c>
      <c r="EA3" s="366">
        <v>3048892</v>
      </c>
      <c r="EB3" s="366">
        <f>+EA3/$EA$1*$EB$1</f>
        <v>3048.8919999999998</v>
      </c>
      <c r="EE3" s="286" t="s">
        <v>424</v>
      </c>
      <c r="EF3" s="288" t="s">
        <v>218</v>
      </c>
      <c r="EG3" s="288" t="s">
        <v>474</v>
      </c>
      <c r="EH3" s="288" t="s">
        <v>290</v>
      </c>
      <c r="EI3" s="287">
        <v>54940335000</v>
      </c>
      <c r="EJ3" s="287">
        <v>0</v>
      </c>
      <c r="EK3" s="287">
        <v>0</v>
      </c>
      <c r="EL3" s="358">
        <f>+EI3/$EL$1*$EM$1</f>
        <v>54940335</v>
      </c>
      <c r="EM3" s="358">
        <f t="shared" ref="EM3:EN3" si="2">+EJ3/$EL$1*$EM$1</f>
        <v>0</v>
      </c>
      <c r="EN3" s="358">
        <f t="shared" si="2"/>
        <v>0</v>
      </c>
      <c r="EQ3" s="286" t="s">
        <v>426</v>
      </c>
      <c r="ER3" s="288" t="s">
        <v>861</v>
      </c>
      <c r="ES3" s="286" t="s">
        <v>427</v>
      </c>
      <c r="ET3" s="286" t="s">
        <v>270</v>
      </c>
      <c r="EU3" s="287">
        <v>20349382</v>
      </c>
      <c r="EV3" s="357">
        <f>+EU3/$EV$1*$EW$1</f>
        <v>20349.382000000001</v>
      </c>
      <c r="EY3" s="286" t="s">
        <v>424</v>
      </c>
      <c r="EZ3" s="288" t="s">
        <v>218</v>
      </c>
      <c r="FA3" s="288" t="s">
        <v>474</v>
      </c>
      <c r="FB3" s="288" t="s">
        <v>290</v>
      </c>
      <c r="FC3" s="287">
        <v>54940335000</v>
      </c>
      <c r="FD3" s="287">
        <v>0</v>
      </c>
      <c r="FE3" s="287">
        <v>0</v>
      </c>
      <c r="FF3" s="357">
        <f>+FC3/$FG$1*$FH$1</f>
        <v>54940335</v>
      </c>
      <c r="FG3" s="357">
        <f t="shared" ref="FG3:FH3" si="3">+FD3/$FG$1*$FH$1</f>
        <v>0</v>
      </c>
      <c r="FH3" s="357">
        <f t="shared" si="3"/>
        <v>0</v>
      </c>
      <c r="FK3" s="280" t="s">
        <v>426</v>
      </c>
      <c r="FL3" s="280" t="s">
        <v>861</v>
      </c>
      <c r="FM3" s="280" t="s">
        <v>427</v>
      </c>
      <c r="FN3" s="280" t="s">
        <v>270</v>
      </c>
      <c r="FO3" s="357">
        <v>16830311</v>
      </c>
      <c r="FP3" s="306">
        <f>FO3/$FO$1*$FP$1</f>
        <v>16830.311000000002</v>
      </c>
      <c r="FR3" s="364">
        <v>2403403</v>
      </c>
      <c r="FS3" s="280" t="s">
        <v>218</v>
      </c>
      <c r="FT3" s="280" t="s">
        <v>474</v>
      </c>
      <c r="FU3" s="280" t="s">
        <v>290</v>
      </c>
      <c r="FV3" s="357">
        <v>54940335000</v>
      </c>
      <c r="FW3" s="357">
        <v>0</v>
      </c>
      <c r="FX3" s="357">
        <v>0</v>
      </c>
      <c r="FY3" s="306">
        <f>FV3/$GA$1*$GB$1</f>
        <v>54940335</v>
      </c>
      <c r="FZ3" s="306">
        <f t="shared" ref="FZ3:GA3" si="4">FW3/$GA$1*$GB$1</f>
        <v>0</v>
      </c>
      <c r="GA3" s="306">
        <f t="shared" si="4"/>
        <v>0</v>
      </c>
      <c r="GD3" s="280" t="s">
        <v>424</v>
      </c>
      <c r="GE3" s="280" t="s">
        <v>218</v>
      </c>
      <c r="GF3" s="280" t="s">
        <v>425</v>
      </c>
      <c r="GG3" s="280" t="s">
        <v>312</v>
      </c>
      <c r="GH3" s="357">
        <v>54664902</v>
      </c>
      <c r="GI3" s="357">
        <f>+GH3/$GH$1*$GI$1</f>
        <v>54664.902000000002</v>
      </c>
      <c r="GK3" s="280" t="s">
        <v>424</v>
      </c>
      <c r="GL3" s="280" t="s">
        <v>218</v>
      </c>
      <c r="GM3" s="280" t="s">
        <v>474</v>
      </c>
      <c r="GN3" s="280" t="s">
        <v>290</v>
      </c>
      <c r="GO3" s="357">
        <v>54940335000</v>
      </c>
      <c r="GP3" s="357">
        <v>0</v>
      </c>
      <c r="GQ3" s="357">
        <v>0</v>
      </c>
      <c r="GR3" s="357">
        <f>+GO3/$GS$1*$GT$1</f>
        <v>54940335</v>
      </c>
      <c r="GS3" s="357">
        <f t="shared" ref="GS3:GT3" si="5">+GP3/$GS$1*$GT$1</f>
        <v>0</v>
      </c>
      <c r="GT3" s="357">
        <f t="shared" si="5"/>
        <v>0</v>
      </c>
      <c r="GV3" s="365" t="s">
        <v>426</v>
      </c>
      <c r="GW3" s="495" t="s">
        <v>861</v>
      </c>
      <c r="GX3" s="495" t="s">
        <v>453</v>
      </c>
      <c r="GY3" s="495" t="s">
        <v>269</v>
      </c>
      <c r="GZ3" s="366">
        <v>688120550</v>
      </c>
      <c r="HA3" s="366">
        <f>+GZ3/$GZ$1*$HA$1</f>
        <v>688120.55</v>
      </c>
      <c r="HC3" s="280" t="s">
        <v>424</v>
      </c>
      <c r="HD3" s="280" t="s">
        <v>218</v>
      </c>
      <c r="HE3" s="280" t="s">
        <v>474</v>
      </c>
      <c r="HF3" s="280" t="s">
        <v>290</v>
      </c>
      <c r="HG3" s="305">
        <v>54940335000</v>
      </c>
      <c r="HH3" s="305">
        <v>0</v>
      </c>
      <c r="HI3" s="305">
        <v>0</v>
      </c>
      <c r="HJ3" s="305">
        <f>+HG3/$HK$1*$HL$1</f>
        <v>54940335</v>
      </c>
      <c r="HK3" s="305">
        <f t="shared" ref="HK3:HL3" si="6">+HH3/$HK$1*$HL$1</f>
        <v>0</v>
      </c>
      <c r="HL3" s="305">
        <f t="shared" si="6"/>
        <v>0</v>
      </c>
    </row>
    <row r="4" spans="1:220" ht="15" customHeight="1" x14ac:dyDescent="0.2">
      <c r="A4" s="286" t="s">
        <v>424</v>
      </c>
      <c r="B4" s="288" t="s">
        <v>218</v>
      </c>
      <c r="C4" s="286" t="s">
        <v>425</v>
      </c>
      <c r="D4" s="288" t="s">
        <v>312</v>
      </c>
      <c r="E4" s="287">
        <v>20617916000</v>
      </c>
      <c r="F4" s="287">
        <v>0</v>
      </c>
      <c r="G4" s="287">
        <v>0</v>
      </c>
      <c r="H4" s="287">
        <f t="shared" ref="H4:H38" si="7">+E4/$H$1*$I$1</f>
        <v>21483868.471999999</v>
      </c>
      <c r="I4" s="287">
        <f t="shared" ref="I4:I38" si="8">+F4/$H$1*$I$1</f>
        <v>0</v>
      </c>
      <c r="J4" s="287">
        <f t="shared" ref="J4:J38" si="9">+G4/$H$1*$I$1</f>
        <v>0</v>
      </c>
      <c r="M4" s="392" t="s">
        <v>426</v>
      </c>
      <c r="N4" s="393" t="s">
        <v>861</v>
      </c>
      <c r="O4" s="392" t="s">
        <v>453</v>
      </c>
      <c r="P4" s="392" t="s">
        <v>269</v>
      </c>
      <c r="Q4" s="394">
        <v>8900000</v>
      </c>
      <c r="R4" s="394">
        <f t="shared" ref="R4:R10" si="10">+Q4/$Q$1*$R$1</f>
        <v>9273.8000000000011</v>
      </c>
      <c r="T4" s="395" t="s">
        <v>424</v>
      </c>
      <c r="U4" s="396" t="s">
        <v>218</v>
      </c>
      <c r="V4" s="395" t="s">
        <v>425</v>
      </c>
      <c r="W4" s="396" t="s">
        <v>312</v>
      </c>
      <c r="X4" s="397">
        <v>20617916000</v>
      </c>
      <c r="Y4" s="397">
        <v>0</v>
      </c>
      <c r="Z4" s="397">
        <v>0</v>
      </c>
      <c r="AA4" s="358">
        <f t="shared" ref="AA4:AA42" si="11">+X4/$AB$1*$AC$1</f>
        <v>21483868.471999999</v>
      </c>
      <c r="AB4" s="358">
        <f t="shared" ref="AB4:AB42" si="12">+Y4/$AB$1*$AC$1</f>
        <v>0</v>
      </c>
      <c r="AC4" s="358">
        <f t="shared" ref="AC4:AC42" si="13">+Z4/$AB$1*$AC$1</f>
        <v>0</v>
      </c>
      <c r="AE4" s="286" t="s">
        <v>424</v>
      </c>
      <c r="AF4" s="286" t="s">
        <v>218</v>
      </c>
      <c r="AG4" s="286" t="s">
        <v>425</v>
      </c>
      <c r="AH4" s="286" t="s">
        <v>312</v>
      </c>
      <c r="AI4" s="288" t="s">
        <v>516</v>
      </c>
      <c r="AJ4" s="287">
        <v>20617907292</v>
      </c>
      <c r="AK4" s="287">
        <f t="shared" ref="AK4:AK14" si="14">+AJ4/$AJ$1*$AK$1</f>
        <v>20617907.291999999</v>
      </c>
      <c r="AM4" s="288" t="s">
        <v>424</v>
      </c>
      <c r="AN4" s="288" t="s">
        <v>218</v>
      </c>
      <c r="AO4" s="288" t="s">
        <v>425</v>
      </c>
      <c r="AP4" s="288" t="s">
        <v>312</v>
      </c>
      <c r="AQ4" s="288" t="s">
        <v>516</v>
      </c>
      <c r="AR4" s="398">
        <v>20617916000</v>
      </c>
      <c r="AS4" s="398">
        <v>0</v>
      </c>
      <c r="AT4" s="398">
        <v>0</v>
      </c>
      <c r="AU4" s="398">
        <f t="shared" ref="AU4:AU46" si="15">+AR4/$AV$1*$AW$1</f>
        <v>20617916</v>
      </c>
      <c r="AV4" s="398">
        <f t="shared" ref="AV4:AV46" si="16">+AS4/$AV$1*$AW$1</f>
        <v>0</v>
      </c>
      <c r="AW4" s="398">
        <f t="shared" ref="AW4:AW46" si="17">+AT4/$AV$1*$AW$1</f>
        <v>0</v>
      </c>
      <c r="AY4" s="365" t="s">
        <v>426</v>
      </c>
      <c r="AZ4" s="288" t="s">
        <v>861</v>
      </c>
      <c r="BA4" s="365" t="s">
        <v>453</v>
      </c>
      <c r="BB4" s="288" t="s">
        <v>269</v>
      </c>
      <c r="BC4" s="366">
        <v>84000000</v>
      </c>
      <c r="BD4" s="366">
        <f t="shared" ref="BD4:BD15" si="18">+BC4/$BC$1*$BD$1</f>
        <v>84000</v>
      </c>
      <c r="BF4" s="365" t="s">
        <v>424</v>
      </c>
      <c r="BG4" s="399" t="s">
        <v>218</v>
      </c>
      <c r="BH4" s="286" t="s">
        <v>425</v>
      </c>
      <c r="BI4" s="288" t="s">
        <v>312</v>
      </c>
      <c r="BJ4" s="366">
        <v>20617916000</v>
      </c>
      <c r="BK4" s="366">
        <v>0</v>
      </c>
      <c r="BL4" s="366">
        <v>0</v>
      </c>
      <c r="BM4" s="366">
        <f t="shared" ref="BM4:BM49" si="19">+BJ4/$BM$1*$BN$1</f>
        <v>20617916</v>
      </c>
      <c r="BN4" s="366">
        <f t="shared" ref="BN4:BN49" si="20">+BK4/$BM$1*$BN$1</f>
        <v>0</v>
      </c>
      <c r="BO4" s="366">
        <f t="shared" ref="BO4:BO49" si="21">+BL4/$BM$1*$BN$1</f>
        <v>0</v>
      </c>
      <c r="BR4" s="365" t="s">
        <v>426</v>
      </c>
      <c r="BS4" s="288" t="s">
        <v>861</v>
      </c>
      <c r="BT4" s="365" t="s">
        <v>453</v>
      </c>
      <c r="BU4" s="286" t="s">
        <v>269</v>
      </c>
      <c r="BV4" s="366">
        <v>937032000</v>
      </c>
      <c r="BW4" s="366">
        <f t="shared" ref="BW4:BW17" si="22">+BV4/$BU$1*$BV$1</f>
        <v>937032</v>
      </c>
      <c r="BY4" s="286" t="s">
        <v>424</v>
      </c>
      <c r="BZ4" s="286" t="s">
        <v>218</v>
      </c>
      <c r="CA4" s="286" t="s">
        <v>425</v>
      </c>
      <c r="CB4" s="286" t="s">
        <v>312</v>
      </c>
      <c r="CC4" s="288" t="s">
        <v>516</v>
      </c>
      <c r="CD4" s="287">
        <v>20617916000</v>
      </c>
      <c r="CE4" s="287">
        <v>0</v>
      </c>
      <c r="CF4" s="287">
        <v>0</v>
      </c>
      <c r="CG4" s="287">
        <f t="shared" ref="CG4:CG51" si="23">+CD4/$CH$1*$CI$1</f>
        <v>20617916</v>
      </c>
      <c r="CH4" s="287">
        <f t="shared" ref="CH4:CH51" si="24">+CE4/$CH$1*$CI$1</f>
        <v>0</v>
      </c>
      <c r="CI4" s="287">
        <f t="shared" ref="CI4:CI51" si="25">+CF4/$CH$1*$CI$1</f>
        <v>0</v>
      </c>
      <c r="CK4" s="288" t="s">
        <v>426</v>
      </c>
      <c r="CL4" s="288" t="s">
        <v>861</v>
      </c>
      <c r="CM4" s="288" t="s">
        <v>427</v>
      </c>
      <c r="CN4" s="288" t="s">
        <v>270</v>
      </c>
      <c r="CO4" s="287">
        <v>10071551</v>
      </c>
      <c r="CP4" s="287">
        <f t="shared" ref="CP4:CP17" si="26">+CO4/$CO$1*$CP$1</f>
        <v>10071.550999999999</v>
      </c>
      <c r="CR4" s="288" t="s">
        <v>424</v>
      </c>
      <c r="CS4" s="288" t="s">
        <v>218</v>
      </c>
      <c r="CT4" s="288" t="s">
        <v>425</v>
      </c>
      <c r="CU4" s="288" t="s">
        <v>312</v>
      </c>
      <c r="CV4" s="287">
        <v>20617916000</v>
      </c>
      <c r="CW4" s="287">
        <v>0</v>
      </c>
      <c r="CX4" s="287">
        <v>0</v>
      </c>
      <c r="CY4" s="287">
        <f t="shared" ref="CY4:CY53" si="27">+CV4/$CY$1*$CZ$1</f>
        <v>20617916</v>
      </c>
      <c r="CZ4" s="287">
        <f t="shared" ref="CZ4:CZ53" si="28">+CW4/$CY$1*$CZ$1</f>
        <v>0</v>
      </c>
      <c r="DA4" s="287">
        <f t="shared" ref="DA4:DA53" si="29">+CX4/$CY$1*$CZ$1</f>
        <v>0</v>
      </c>
      <c r="DC4" s="365" t="s">
        <v>426</v>
      </c>
      <c r="DD4" s="288" t="s">
        <v>861</v>
      </c>
      <c r="DE4" s="365" t="s">
        <v>427</v>
      </c>
      <c r="DF4" s="286" t="s">
        <v>270</v>
      </c>
      <c r="DG4" s="366">
        <v>17077655</v>
      </c>
      <c r="DH4" s="366">
        <f t="shared" ref="DH4:DH18" si="30">+DG4/$DH$1*$DI$1</f>
        <v>17077.654999999999</v>
      </c>
      <c r="DK4" s="286" t="s">
        <v>424</v>
      </c>
      <c r="DL4" s="288" t="s">
        <v>218</v>
      </c>
      <c r="DM4" s="286" t="s">
        <v>425</v>
      </c>
      <c r="DN4" s="288" t="s">
        <v>312</v>
      </c>
      <c r="DO4" s="287">
        <v>20617916000</v>
      </c>
      <c r="DP4" s="287">
        <v>0</v>
      </c>
      <c r="DQ4" s="287">
        <v>0</v>
      </c>
      <c r="DR4" s="287">
        <f t="shared" ref="DR4:DR55" si="31">+DO4/$DS$1*$DT$1</f>
        <v>20617916</v>
      </c>
      <c r="DS4" s="287">
        <f t="shared" ref="DS4:DS55" si="32">+DP4/$DS$1*$DT$1</f>
        <v>0</v>
      </c>
      <c r="DT4" s="287">
        <f t="shared" ref="DT4:DT55" si="33">+DQ4/$DS$1*$DT$1</f>
        <v>0</v>
      </c>
      <c r="DW4" s="367" t="s">
        <v>426</v>
      </c>
      <c r="DX4" s="400" t="s">
        <v>861</v>
      </c>
      <c r="DY4" s="367" t="s">
        <v>453</v>
      </c>
      <c r="DZ4" s="401" t="s">
        <v>269</v>
      </c>
      <c r="EA4" s="366">
        <v>154816300</v>
      </c>
      <c r="EB4" s="366">
        <f t="shared" ref="EB4:EB16" si="34">+EA4/$EA$1*$EB$1</f>
        <v>154816.29999999999</v>
      </c>
      <c r="EE4" s="286" t="s">
        <v>424</v>
      </c>
      <c r="EF4" s="288" t="s">
        <v>218</v>
      </c>
      <c r="EG4" s="288" t="s">
        <v>425</v>
      </c>
      <c r="EH4" s="288" t="s">
        <v>312</v>
      </c>
      <c r="EI4" s="287">
        <v>20617916000</v>
      </c>
      <c r="EJ4" s="287">
        <v>0</v>
      </c>
      <c r="EK4" s="287">
        <v>0</v>
      </c>
      <c r="EL4" s="358">
        <f t="shared" ref="EL4:EL55" si="35">+EI4/$EL$1*$EM$1</f>
        <v>20617916</v>
      </c>
      <c r="EM4" s="358">
        <f t="shared" ref="EM4:EM55" si="36">+EJ4/$EL$1*$EM$1</f>
        <v>0</v>
      </c>
      <c r="EN4" s="358">
        <f t="shared" ref="EN4:EN55" si="37">+EK4/$EL$1*$EM$1</f>
        <v>0</v>
      </c>
      <c r="EQ4" s="286" t="s">
        <v>426</v>
      </c>
      <c r="ER4" s="288" t="s">
        <v>861</v>
      </c>
      <c r="ES4" s="286" t="s">
        <v>453</v>
      </c>
      <c r="ET4" s="286" t="s">
        <v>269</v>
      </c>
      <c r="EU4" s="287">
        <v>119335915</v>
      </c>
      <c r="EV4" s="357">
        <f t="shared" ref="EV4:EV55" si="38">+EU4/$EV$1*$EW$1</f>
        <v>119335.91499999999</v>
      </c>
      <c r="EY4" s="286" t="s">
        <v>424</v>
      </c>
      <c r="EZ4" s="288" t="s">
        <v>218</v>
      </c>
      <c r="FA4" s="288" t="s">
        <v>425</v>
      </c>
      <c r="FB4" s="288" t="s">
        <v>312</v>
      </c>
      <c r="FC4" s="287">
        <v>20617916000</v>
      </c>
      <c r="FD4" s="287">
        <v>0</v>
      </c>
      <c r="FE4" s="287">
        <v>0</v>
      </c>
      <c r="FF4" s="357">
        <f t="shared" ref="FF4:FF55" si="39">+FC4/$FG$1*$FH$1</f>
        <v>20617916</v>
      </c>
      <c r="FG4" s="357">
        <f t="shared" ref="FG4:FG55" si="40">+FD4/$FG$1*$FH$1</f>
        <v>0</v>
      </c>
      <c r="FH4" s="357">
        <f t="shared" ref="FH4:FH55" si="41">+FE4/$FG$1*$FH$1</f>
        <v>0</v>
      </c>
      <c r="FK4" s="280" t="s">
        <v>426</v>
      </c>
      <c r="FL4" s="280" t="s">
        <v>861</v>
      </c>
      <c r="FM4" s="280" t="s">
        <v>453</v>
      </c>
      <c r="FN4" s="280" t="s">
        <v>269</v>
      </c>
      <c r="FO4" s="357">
        <v>70000025</v>
      </c>
      <c r="FP4" s="306">
        <f t="shared" ref="FP4:FP19" si="42">FO4/$FO$1*$FP$1</f>
        <v>70000.024999999994</v>
      </c>
      <c r="FR4" s="364" t="s">
        <v>424</v>
      </c>
      <c r="FS4" s="280" t="s">
        <v>218</v>
      </c>
      <c r="FT4" s="280" t="s">
        <v>425</v>
      </c>
      <c r="FU4" s="280" t="s">
        <v>312</v>
      </c>
      <c r="FV4" s="357">
        <v>20617916000</v>
      </c>
      <c r="FW4" s="357">
        <v>0</v>
      </c>
      <c r="FX4" s="357">
        <v>0</v>
      </c>
      <c r="FY4" s="306">
        <f t="shared" ref="FY4:FY55" si="43">FV4/$GA$1*$GB$1</f>
        <v>20617916</v>
      </c>
      <c r="FZ4" s="306">
        <f t="shared" ref="FZ4:FZ55" si="44">FW4/$GA$1*$GB$1</f>
        <v>0</v>
      </c>
      <c r="GA4" s="306">
        <f t="shared" ref="GA4:GA55" si="45">FX4/$GA$1*$GB$1</f>
        <v>0</v>
      </c>
      <c r="GD4" s="280" t="s">
        <v>426</v>
      </c>
      <c r="GE4" s="280" t="s">
        <v>861</v>
      </c>
      <c r="GF4" s="280" t="s">
        <v>427</v>
      </c>
      <c r="GG4" s="280" t="s">
        <v>270</v>
      </c>
      <c r="GH4" s="357">
        <v>16830311</v>
      </c>
      <c r="GI4" s="357">
        <f t="shared" ref="GI4:GI21" si="46">+GH4/$GH$1*$GI$1</f>
        <v>16830.311000000002</v>
      </c>
      <c r="GK4" s="280" t="s">
        <v>424</v>
      </c>
      <c r="GL4" s="280" t="s">
        <v>218</v>
      </c>
      <c r="GM4" s="280" t="s">
        <v>425</v>
      </c>
      <c r="GN4" s="280" t="s">
        <v>312</v>
      </c>
      <c r="GO4" s="357">
        <v>20672588000</v>
      </c>
      <c r="GP4" s="357">
        <v>0</v>
      </c>
      <c r="GQ4" s="357">
        <v>0</v>
      </c>
      <c r="GR4" s="357">
        <f t="shared" ref="GR4:GR56" si="47">+GO4/$GS$1*$GT$1</f>
        <v>20672588</v>
      </c>
      <c r="GS4" s="357">
        <f t="shared" ref="GS4:GS56" si="48">+GP4/$GS$1*$GT$1</f>
        <v>0</v>
      </c>
      <c r="GT4" s="357">
        <f t="shared" ref="GT4:GT56" si="49">+GQ4/$GS$1*$GT$1</f>
        <v>0</v>
      </c>
      <c r="GV4" s="365" t="s">
        <v>426</v>
      </c>
      <c r="GW4" s="495" t="s">
        <v>861</v>
      </c>
      <c r="GX4" s="495" t="s">
        <v>475</v>
      </c>
      <c r="GY4" s="495" t="s">
        <v>333</v>
      </c>
      <c r="GZ4" s="366">
        <v>536145160</v>
      </c>
      <c r="HA4" s="366">
        <f t="shared" ref="HA4:HA20" si="50">+GZ4/$GZ$1*$HA$1</f>
        <v>536145.16</v>
      </c>
      <c r="HC4" s="280" t="s">
        <v>424</v>
      </c>
      <c r="HD4" s="280" t="s">
        <v>218</v>
      </c>
      <c r="HE4" s="280" t="s">
        <v>425</v>
      </c>
      <c r="HF4" s="280" t="s">
        <v>312</v>
      </c>
      <c r="HG4" s="305">
        <v>20672588000</v>
      </c>
      <c r="HH4" s="305">
        <v>0</v>
      </c>
      <c r="HI4" s="305">
        <v>0</v>
      </c>
      <c r="HJ4" s="305">
        <f t="shared" ref="HJ4:HJ56" si="51">+HG4/$HK$1*$HL$1</f>
        <v>20672588</v>
      </c>
      <c r="HK4" s="305">
        <f t="shared" ref="HK4:HK56" si="52">+HH4/$HK$1*$HL$1</f>
        <v>0</v>
      </c>
      <c r="HL4" s="305">
        <f t="shared" ref="HL4:HL56" si="53">+HI4/$HK$1*$HL$1</f>
        <v>0</v>
      </c>
    </row>
    <row r="5" spans="1:220" ht="15" customHeight="1" x14ac:dyDescent="0.2">
      <c r="A5" s="286" t="s">
        <v>426</v>
      </c>
      <c r="B5" s="288" t="s">
        <v>861</v>
      </c>
      <c r="C5" s="286" t="s">
        <v>453</v>
      </c>
      <c r="D5" s="288" t="s">
        <v>269</v>
      </c>
      <c r="E5" s="287">
        <v>2642082000</v>
      </c>
      <c r="F5" s="287">
        <v>0</v>
      </c>
      <c r="G5" s="287">
        <v>0</v>
      </c>
      <c r="H5" s="287">
        <f t="shared" si="7"/>
        <v>2753049.4440000001</v>
      </c>
      <c r="I5" s="287">
        <f t="shared" si="8"/>
        <v>0</v>
      </c>
      <c r="J5" s="287">
        <f t="shared" si="9"/>
        <v>0</v>
      </c>
      <c r="M5" s="392" t="s">
        <v>426</v>
      </c>
      <c r="N5" s="393" t="s">
        <v>861</v>
      </c>
      <c r="O5" s="392" t="s">
        <v>427</v>
      </c>
      <c r="P5" s="392" t="s">
        <v>270</v>
      </c>
      <c r="Q5" s="394">
        <v>12734603</v>
      </c>
      <c r="R5" s="394">
        <f t="shared" si="10"/>
        <v>13269.456326</v>
      </c>
      <c r="T5" s="395" t="s">
        <v>424</v>
      </c>
      <c r="U5" s="396" t="s">
        <v>218</v>
      </c>
      <c r="V5" s="395" t="s">
        <v>474</v>
      </c>
      <c r="W5" s="396" t="s">
        <v>290</v>
      </c>
      <c r="X5" s="397">
        <v>0</v>
      </c>
      <c r="Y5" s="397">
        <v>54940335000</v>
      </c>
      <c r="Z5" s="397">
        <v>9107771724</v>
      </c>
      <c r="AA5" s="358">
        <f t="shared" si="11"/>
        <v>0</v>
      </c>
      <c r="AB5" s="358">
        <f t="shared" si="12"/>
        <v>57247829.07</v>
      </c>
      <c r="AC5" s="358">
        <f t="shared" si="13"/>
        <v>9490298.1364079993</v>
      </c>
      <c r="AE5" s="286" t="s">
        <v>426</v>
      </c>
      <c r="AF5" s="286" t="s">
        <v>861</v>
      </c>
      <c r="AG5" s="286" t="s">
        <v>427</v>
      </c>
      <c r="AH5" s="286" t="s">
        <v>270</v>
      </c>
      <c r="AI5" s="288" t="s">
        <v>516</v>
      </c>
      <c r="AJ5" s="287">
        <v>12734603</v>
      </c>
      <c r="AK5" s="287">
        <f t="shared" si="14"/>
        <v>12734.602999999999</v>
      </c>
      <c r="AM5" s="288" t="s">
        <v>424</v>
      </c>
      <c r="AN5" s="288" t="s">
        <v>218</v>
      </c>
      <c r="AO5" s="288" t="s">
        <v>474</v>
      </c>
      <c r="AP5" s="288" t="s">
        <v>290</v>
      </c>
      <c r="AQ5" s="288" t="s">
        <v>516</v>
      </c>
      <c r="AR5" s="398">
        <v>0</v>
      </c>
      <c r="AS5" s="398">
        <v>54940335000</v>
      </c>
      <c r="AT5" s="398">
        <v>23349187668</v>
      </c>
      <c r="AU5" s="398">
        <f t="shared" si="15"/>
        <v>0</v>
      </c>
      <c r="AV5" s="398">
        <f t="shared" si="16"/>
        <v>54940335</v>
      </c>
      <c r="AW5" s="398">
        <f t="shared" si="17"/>
        <v>23349187.668000001</v>
      </c>
      <c r="AY5" s="365" t="s">
        <v>426</v>
      </c>
      <c r="AZ5" s="288" t="s">
        <v>861</v>
      </c>
      <c r="BA5" s="365" t="s">
        <v>427</v>
      </c>
      <c r="BB5" s="288" t="s">
        <v>270</v>
      </c>
      <c r="BC5" s="366">
        <v>17214603</v>
      </c>
      <c r="BD5" s="366">
        <f t="shared" si="18"/>
        <v>17214.602999999999</v>
      </c>
      <c r="BF5" s="365" t="s">
        <v>424</v>
      </c>
      <c r="BG5" s="399" t="s">
        <v>218</v>
      </c>
      <c r="BH5" s="286" t="s">
        <v>429</v>
      </c>
      <c r="BI5" s="288" t="s">
        <v>429</v>
      </c>
      <c r="BJ5" s="366">
        <v>0</v>
      </c>
      <c r="BK5" s="366">
        <v>0</v>
      </c>
      <c r="BL5" s="366">
        <v>0</v>
      </c>
      <c r="BM5" s="366">
        <f t="shared" si="19"/>
        <v>0</v>
      </c>
      <c r="BN5" s="366">
        <f t="shared" si="20"/>
        <v>0</v>
      </c>
      <c r="BO5" s="366">
        <f t="shared" si="21"/>
        <v>0</v>
      </c>
      <c r="BR5" s="365" t="s">
        <v>426</v>
      </c>
      <c r="BS5" s="288" t="s">
        <v>861</v>
      </c>
      <c r="BT5" s="365" t="s">
        <v>427</v>
      </c>
      <c r="BU5" s="286" t="s">
        <v>270</v>
      </c>
      <c r="BV5" s="366">
        <v>14834603</v>
      </c>
      <c r="BW5" s="366">
        <f t="shared" si="22"/>
        <v>14834.602999999999</v>
      </c>
      <c r="BY5" s="286" t="s">
        <v>424</v>
      </c>
      <c r="BZ5" s="286" t="s">
        <v>218</v>
      </c>
      <c r="CA5" s="286" t="s">
        <v>429</v>
      </c>
      <c r="CB5" s="286" t="s">
        <v>429</v>
      </c>
      <c r="CC5" s="288" t="s">
        <v>516</v>
      </c>
      <c r="CD5" s="287">
        <v>0</v>
      </c>
      <c r="CE5" s="287">
        <v>0</v>
      </c>
      <c r="CF5" s="287">
        <v>0</v>
      </c>
      <c r="CG5" s="287">
        <f t="shared" si="23"/>
        <v>0</v>
      </c>
      <c r="CH5" s="287">
        <f t="shared" si="24"/>
        <v>0</v>
      </c>
      <c r="CI5" s="287">
        <f t="shared" si="25"/>
        <v>0</v>
      </c>
      <c r="CK5" s="288" t="s">
        <v>426</v>
      </c>
      <c r="CL5" s="288" t="s">
        <v>861</v>
      </c>
      <c r="CM5" s="288" t="s">
        <v>428</v>
      </c>
      <c r="CN5" s="288" t="s">
        <v>313</v>
      </c>
      <c r="CO5" s="287">
        <v>139289</v>
      </c>
      <c r="CP5" s="287">
        <f t="shared" si="26"/>
        <v>139.28899999999999</v>
      </c>
      <c r="CR5" s="288" t="s">
        <v>424</v>
      </c>
      <c r="CS5" s="288" t="s">
        <v>218</v>
      </c>
      <c r="CT5" s="288" t="s">
        <v>429</v>
      </c>
      <c r="CU5" s="288" t="s">
        <v>429</v>
      </c>
      <c r="CV5" s="287">
        <v>0</v>
      </c>
      <c r="CW5" s="287">
        <v>0</v>
      </c>
      <c r="CX5" s="287">
        <v>0</v>
      </c>
      <c r="CY5" s="287">
        <f t="shared" si="27"/>
        <v>0</v>
      </c>
      <c r="CZ5" s="287">
        <f t="shared" si="28"/>
        <v>0</v>
      </c>
      <c r="DA5" s="287">
        <f t="shared" si="29"/>
        <v>0</v>
      </c>
      <c r="DC5" s="365" t="s">
        <v>426</v>
      </c>
      <c r="DD5" s="288" t="s">
        <v>861</v>
      </c>
      <c r="DE5" s="365" t="s">
        <v>451</v>
      </c>
      <c r="DF5" s="286" t="s">
        <v>452</v>
      </c>
      <c r="DG5" s="366">
        <v>27678034</v>
      </c>
      <c r="DH5" s="366">
        <f t="shared" si="30"/>
        <v>27678.034</v>
      </c>
      <c r="DK5" s="286" t="s">
        <v>424</v>
      </c>
      <c r="DL5" s="288" t="s">
        <v>218</v>
      </c>
      <c r="DM5" s="286" t="s">
        <v>474</v>
      </c>
      <c r="DN5" s="288" t="s">
        <v>290</v>
      </c>
      <c r="DO5" s="287">
        <v>0</v>
      </c>
      <c r="DP5" s="287">
        <v>54940335000</v>
      </c>
      <c r="DQ5" s="287">
        <v>54940335000</v>
      </c>
      <c r="DR5" s="287">
        <f t="shared" si="31"/>
        <v>0</v>
      </c>
      <c r="DS5" s="287">
        <f t="shared" si="32"/>
        <v>54940335</v>
      </c>
      <c r="DT5" s="287">
        <f t="shared" si="33"/>
        <v>54940335</v>
      </c>
      <c r="DW5" s="367" t="s">
        <v>426</v>
      </c>
      <c r="DX5" s="400" t="s">
        <v>861</v>
      </c>
      <c r="DY5" s="367" t="s">
        <v>427</v>
      </c>
      <c r="DZ5" s="401" t="s">
        <v>270</v>
      </c>
      <c r="EA5" s="366">
        <v>16745018</v>
      </c>
      <c r="EB5" s="366">
        <f t="shared" si="34"/>
        <v>16745.018</v>
      </c>
      <c r="EE5" s="286" t="s">
        <v>424</v>
      </c>
      <c r="EF5" s="288" t="s">
        <v>218</v>
      </c>
      <c r="EG5" s="288" t="s">
        <v>425</v>
      </c>
      <c r="EH5" s="288" t="s">
        <v>312</v>
      </c>
      <c r="EI5" s="287">
        <v>0</v>
      </c>
      <c r="EJ5" s="287">
        <v>20617907292</v>
      </c>
      <c r="EK5" s="287">
        <v>20617907292</v>
      </c>
      <c r="EL5" s="358">
        <f t="shared" si="35"/>
        <v>0</v>
      </c>
      <c r="EM5" s="358">
        <f t="shared" si="36"/>
        <v>20617907.291999999</v>
      </c>
      <c r="EN5" s="358">
        <f t="shared" si="37"/>
        <v>20617907.291999999</v>
      </c>
      <c r="EQ5" s="286" t="s">
        <v>786</v>
      </c>
      <c r="ER5" s="288" t="s">
        <v>787</v>
      </c>
      <c r="ES5" s="286" t="s">
        <v>429</v>
      </c>
      <c r="ET5" s="286" t="s">
        <v>429</v>
      </c>
      <c r="EU5" s="287">
        <v>4106314735</v>
      </c>
      <c r="EV5" s="357">
        <f t="shared" si="38"/>
        <v>4106314.7349999999</v>
      </c>
      <c r="EY5" s="286" t="s">
        <v>424</v>
      </c>
      <c r="EZ5" s="288" t="s">
        <v>218</v>
      </c>
      <c r="FA5" s="288" t="s">
        <v>474</v>
      </c>
      <c r="FB5" s="288" t="s">
        <v>290</v>
      </c>
      <c r="FC5" s="287">
        <v>0</v>
      </c>
      <c r="FD5" s="287">
        <v>54940335000</v>
      </c>
      <c r="FE5" s="287">
        <v>54940335000</v>
      </c>
      <c r="FF5" s="357">
        <f t="shared" si="39"/>
        <v>0</v>
      </c>
      <c r="FG5" s="357">
        <f t="shared" si="40"/>
        <v>54940335</v>
      </c>
      <c r="FH5" s="357">
        <f t="shared" si="41"/>
        <v>54940335</v>
      </c>
      <c r="FK5" s="280" t="s">
        <v>896</v>
      </c>
      <c r="FL5" s="280" t="s">
        <v>897</v>
      </c>
      <c r="FM5" s="280" t="s">
        <v>429</v>
      </c>
      <c r="FN5" s="280" t="s">
        <v>429</v>
      </c>
      <c r="FO5" s="357">
        <v>76854497</v>
      </c>
      <c r="FP5" s="306">
        <f t="shared" si="42"/>
        <v>76854.497000000003</v>
      </c>
      <c r="FR5" s="364" t="s">
        <v>424</v>
      </c>
      <c r="FS5" s="280" t="s">
        <v>218</v>
      </c>
      <c r="FT5" s="280" t="s">
        <v>429</v>
      </c>
      <c r="FU5" s="280" t="s">
        <v>429</v>
      </c>
      <c r="FV5" s="357">
        <v>0</v>
      </c>
      <c r="FW5" s="357">
        <v>0</v>
      </c>
      <c r="FX5" s="357">
        <v>0</v>
      </c>
      <c r="FY5" s="306">
        <f t="shared" si="43"/>
        <v>0</v>
      </c>
      <c r="FZ5" s="306">
        <f t="shared" si="44"/>
        <v>0</v>
      </c>
      <c r="GA5" s="306">
        <f t="shared" si="45"/>
        <v>0</v>
      </c>
      <c r="GD5" s="280" t="s">
        <v>426</v>
      </c>
      <c r="GE5" s="280" t="s">
        <v>861</v>
      </c>
      <c r="GF5" s="280" t="s">
        <v>428</v>
      </c>
      <c r="GG5" s="280" t="s">
        <v>313</v>
      </c>
      <c r="GH5" s="357">
        <v>198486</v>
      </c>
      <c r="GI5" s="357">
        <f t="shared" si="46"/>
        <v>198.48599999999999</v>
      </c>
      <c r="GK5" s="280" t="s">
        <v>424</v>
      </c>
      <c r="GL5" s="280" t="s">
        <v>218</v>
      </c>
      <c r="GM5" s="280" t="s">
        <v>425</v>
      </c>
      <c r="GN5" s="280" t="s">
        <v>312</v>
      </c>
      <c r="GO5" s="357">
        <v>0</v>
      </c>
      <c r="GP5" s="357">
        <v>20672572194</v>
      </c>
      <c r="GQ5" s="357">
        <v>20672572194</v>
      </c>
      <c r="GR5" s="357">
        <f t="shared" si="47"/>
        <v>0</v>
      </c>
      <c r="GS5" s="357">
        <f t="shared" si="48"/>
        <v>20672572.193999998</v>
      </c>
      <c r="GT5" s="357">
        <f t="shared" si="49"/>
        <v>20672572.193999998</v>
      </c>
      <c r="GV5" s="365" t="s">
        <v>426</v>
      </c>
      <c r="GW5" s="495" t="s">
        <v>861</v>
      </c>
      <c r="GX5" s="495" t="s">
        <v>450</v>
      </c>
      <c r="GY5" s="495" t="s">
        <v>272</v>
      </c>
      <c r="GZ5" s="366">
        <v>2560880</v>
      </c>
      <c r="HA5" s="366">
        <f t="shared" si="50"/>
        <v>2560.88</v>
      </c>
      <c r="HC5" s="280" t="s">
        <v>424</v>
      </c>
      <c r="HD5" s="280" t="s">
        <v>218</v>
      </c>
      <c r="HE5" s="280" t="s">
        <v>474</v>
      </c>
      <c r="HF5" s="280" t="s">
        <v>290</v>
      </c>
      <c r="HG5" s="305">
        <v>0</v>
      </c>
      <c r="HH5" s="305">
        <v>54940335000</v>
      </c>
      <c r="HI5" s="305">
        <v>54940335000</v>
      </c>
      <c r="HJ5" s="305">
        <f t="shared" si="51"/>
        <v>0</v>
      </c>
      <c r="HK5" s="305">
        <f t="shared" si="52"/>
        <v>54940335</v>
      </c>
      <c r="HL5" s="305">
        <f t="shared" si="53"/>
        <v>54940335</v>
      </c>
    </row>
    <row r="6" spans="1:220" ht="15" customHeight="1" x14ac:dyDescent="0.2">
      <c r="A6" s="286" t="s">
        <v>426</v>
      </c>
      <c r="B6" s="288" t="s">
        <v>861</v>
      </c>
      <c r="C6" s="286" t="s">
        <v>475</v>
      </c>
      <c r="D6" s="288" t="s">
        <v>333</v>
      </c>
      <c r="E6" s="287">
        <v>587229000</v>
      </c>
      <c r="F6" s="287">
        <v>0</v>
      </c>
      <c r="G6" s="287">
        <v>0</v>
      </c>
      <c r="H6" s="287">
        <f t="shared" si="7"/>
        <v>611892.61800000002</v>
      </c>
      <c r="I6" s="287">
        <f t="shared" si="8"/>
        <v>0</v>
      </c>
      <c r="J6" s="287">
        <f t="shared" si="9"/>
        <v>0</v>
      </c>
      <c r="M6" s="392" t="s">
        <v>788</v>
      </c>
      <c r="N6" s="393" t="s">
        <v>789</v>
      </c>
      <c r="O6" s="392" t="s">
        <v>429</v>
      </c>
      <c r="P6" s="392" t="s">
        <v>429</v>
      </c>
      <c r="Q6" s="394">
        <v>15164780950</v>
      </c>
      <c r="R6" s="394">
        <f t="shared" si="10"/>
        <v>15801701.7499</v>
      </c>
      <c r="T6" s="395" t="s">
        <v>424</v>
      </c>
      <c r="U6" s="396" t="s">
        <v>218</v>
      </c>
      <c r="V6" s="395" t="s">
        <v>429</v>
      </c>
      <c r="W6" s="396" t="s">
        <v>429</v>
      </c>
      <c r="X6" s="397">
        <v>0</v>
      </c>
      <c r="Y6" s="397">
        <v>0</v>
      </c>
      <c r="Z6" s="397">
        <v>0</v>
      </c>
      <c r="AA6" s="358">
        <f t="shared" si="11"/>
        <v>0</v>
      </c>
      <c r="AB6" s="358">
        <f t="shared" si="12"/>
        <v>0</v>
      </c>
      <c r="AC6" s="358">
        <f t="shared" si="13"/>
        <v>0</v>
      </c>
      <c r="AE6" s="286" t="s">
        <v>426</v>
      </c>
      <c r="AF6" s="286" t="s">
        <v>861</v>
      </c>
      <c r="AG6" s="286" t="s">
        <v>453</v>
      </c>
      <c r="AH6" s="286" t="s">
        <v>269</v>
      </c>
      <c r="AI6" s="288" t="s">
        <v>516</v>
      </c>
      <c r="AJ6" s="287">
        <v>30857000</v>
      </c>
      <c r="AK6" s="287">
        <f t="shared" si="14"/>
        <v>30857</v>
      </c>
      <c r="AM6" s="288" t="s">
        <v>424</v>
      </c>
      <c r="AN6" s="288" t="s">
        <v>218</v>
      </c>
      <c r="AO6" s="288" t="s">
        <v>425</v>
      </c>
      <c r="AP6" s="288" t="s">
        <v>312</v>
      </c>
      <c r="AQ6" s="288" t="s">
        <v>516</v>
      </c>
      <c r="AR6" s="398">
        <v>0</v>
      </c>
      <c r="AS6" s="398">
        <v>20617907292</v>
      </c>
      <c r="AT6" s="398">
        <v>20617907292</v>
      </c>
      <c r="AU6" s="398">
        <f t="shared" si="15"/>
        <v>0</v>
      </c>
      <c r="AV6" s="398">
        <f t="shared" si="16"/>
        <v>20617907.291999999</v>
      </c>
      <c r="AW6" s="398">
        <f t="shared" si="17"/>
        <v>20617907.291999999</v>
      </c>
      <c r="AY6" s="365" t="s">
        <v>786</v>
      </c>
      <c r="AZ6" s="288" t="s">
        <v>787</v>
      </c>
      <c r="BA6" s="365" t="s">
        <v>429</v>
      </c>
      <c r="BB6" s="288" t="s">
        <v>429</v>
      </c>
      <c r="BC6" s="366">
        <v>125929730</v>
      </c>
      <c r="BD6" s="366">
        <f t="shared" si="18"/>
        <v>125929.73</v>
      </c>
      <c r="BF6" s="365" t="s">
        <v>424</v>
      </c>
      <c r="BG6" s="399" t="s">
        <v>218</v>
      </c>
      <c r="BH6" s="286" t="s">
        <v>425</v>
      </c>
      <c r="BI6" s="288" t="s">
        <v>312</v>
      </c>
      <c r="BJ6" s="366">
        <v>0</v>
      </c>
      <c r="BK6" s="366">
        <v>20617907292</v>
      </c>
      <c r="BL6" s="366">
        <v>20617907292</v>
      </c>
      <c r="BM6" s="366">
        <f t="shared" si="19"/>
        <v>0</v>
      </c>
      <c r="BN6" s="366">
        <f t="shared" si="20"/>
        <v>20617907.291999999</v>
      </c>
      <c r="BO6" s="366">
        <f t="shared" si="21"/>
        <v>20617907.291999999</v>
      </c>
      <c r="BR6" s="365" t="s">
        <v>896</v>
      </c>
      <c r="BS6" s="288" t="s">
        <v>897</v>
      </c>
      <c r="BT6" s="365" t="s">
        <v>429</v>
      </c>
      <c r="BU6" s="286" t="s">
        <v>429</v>
      </c>
      <c r="BV6" s="366">
        <v>31380000</v>
      </c>
      <c r="BW6" s="366">
        <f t="shared" si="22"/>
        <v>31380</v>
      </c>
      <c r="BY6" s="286" t="s">
        <v>424</v>
      </c>
      <c r="BZ6" s="286" t="s">
        <v>218</v>
      </c>
      <c r="CA6" s="286" t="s">
        <v>474</v>
      </c>
      <c r="CB6" s="286" t="s">
        <v>290</v>
      </c>
      <c r="CC6" s="288" t="s">
        <v>516</v>
      </c>
      <c r="CD6" s="287">
        <v>0</v>
      </c>
      <c r="CE6" s="287">
        <v>54940335000</v>
      </c>
      <c r="CF6" s="287">
        <v>34574611432</v>
      </c>
      <c r="CG6" s="287">
        <f t="shared" si="23"/>
        <v>0</v>
      </c>
      <c r="CH6" s="287">
        <f t="shared" si="24"/>
        <v>54940335</v>
      </c>
      <c r="CI6" s="287">
        <f t="shared" si="25"/>
        <v>34574611.431999996</v>
      </c>
      <c r="CK6" s="288" t="s">
        <v>426</v>
      </c>
      <c r="CL6" s="288" t="s">
        <v>861</v>
      </c>
      <c r="CM6" s="288" t="s">
        <v>453</v>
      </c>
      <c r="CN6" s="288" t="s">
        <v>269</v>
      </c>
      <c r="CO6" s="287">
        <v>126200000</v>
      </c>
      <c r="CP6" s="287">
        <f t="shared" si="26"/>
        <v>126200</v>
      </c>
      <c r="CR6" s="288" t="s">
        <v>424</v>
      </c>
      <c r="CS6" s="288" t="s">
        <v>218</v>
      </c>
      <c r="CT6" s="288" t="s">
        <v>425</v>
      </c>
      <c r="CU6" s="288" t="s">
        <v>312</v>
      </c>
      <c r="CV6" s="287">
        <v>0</v>
      </c>
      <c r="CW6" s="287">
        <v>20617907292</v>
      </c>
      <c r="CX6" s="287">
        <v>20617907292</v>
      </c>
      <c r="CY6" s="287">
        <f t="shared" si="27"/>
        <v>0</v>
      </c>
      <c r="CZ6" s="287">
        <f t="shared" si="28"/>
        <v>20617907.291999999</v>
      </c>
      <c r="DA6" s="287">
        <f t="shared" si="29"/>
        <v>20617907.291999999</v>
      </c>
      <c r="DC6" s="365" t="s">
        <v>896</v>
      </c>
      <c r="DD6" s="288" t="s">
        <v>897</v>
      </c>
      <c r="DE6" s="365" t="s">
        <v>429</v>
      </c>
      <c r="DF6" s="286" t="s">
        <v>429</v>
      </c>
      <c r="DG6" s="366">
        <v>63823334</v>
      </c>
      <c r="DH6" s="366">
        <f t="shared" si="30"/>
        <v>63823.334000000003</v>
      </c>
      <c r="DK6" s="286" t="s">
        <v>424</v>
      </c>
      <c r="DL6" s="288" t="s">
        <v>218</v>
      </c>
      <c r="DM6" s="286" t="s">
        <v>425</v>
      </c>
      <c r="DN6" s="288" t="s">
        <v>312</v>
      </c>
      <c r="DO6" s="287">
        <v>0</v>
      </c>
      <c r="DP6" s="287">
        <v>20617907292</v>
      </c>
      <c r="DQ6" s="287">
        <v>20617907292</v>
      </c>
      <c r="DR6" s="287">
        <f t="shared" si="31"/>
        <v>0</v>
      </c>
      <c r="DS6" s="287">
        <f t="shared" si="32"/>
        <v>20617907.291999999</v>
      </c>
      <c r="DT6" s="287">
        <f t="shared" si="33"/>
        <v>20617907.291999999</v>
      </c>
      <c r="DW6" s="367" t="s">
        <v>896</v>
      </c>
      <c r="DX6" s="400" t="s">
        <v>897</v>
      </c>
      <c r="DY6" s="367" t="s">
        <v>429</v>
      </c>
      <c r="DZ6" s="401" t="s">
        <v>429</v>
      </c>
      <c r="EA6" s="366">
        <v>38014000</v>
      </c>
      <c r="EB6" s="366">
        <f t="shared" si="34"/>
        <v>38014</v>
      </c>
      <c r="EE6" s="286" t="s">
        <v>424</v>
      </c>
      <c r="EF6" s="288" t="s">
        <v>218</v>
      </c>
      <c r="EG6" s="288" t="s">
        <v>474</v>
      </c>
      <c r="EH6" s="288" t="s">
        <v>290</v>
      </c>
      <c r="EI6" s="287">
        <v>0</v>
      </c>
      <c r="EJ6" s="287">
        <v>54940335000</v>
      </c>
      <c r="EK6" s="287">
        <v>54940335000</v>
      </c>
      <c r="EL6" s="358">
        <f t="shared" si="35"/>
        <v>0</v>
      </c>
      <c r="EM6" s="358">
        <f t="shared" si="36"/>
        <v>54940335</v>
      </c>
      <c r="EN6" s="358">
        <f t="shared" si="37"/>
        <v>54940335</v>
      </c>
      <c r="EQ6" s="286" t="s">
        <v>788</v>
      </c>
      <c r="ER6" s="288" t="s">
        <v>789</v>
      </c>
      <c r="ES6" s="286" t="s">
        <v>429</v>
      </c>
      <c r="ET6" s="286" t="s">
        <v>429</v>
      </c>
      <c r="EU6" s="287">
        <v>8394117050</v>
      </c>
      <c r="EV6" s="357">
        <f t="shared" si="38"/>
        <v>8394117.0500000007</v>
      </c>
      <c r="EY6" s="286" t="s">
        <v>424</v>
      </c>
      <c r="EZ6" s="288" t="s">
        <v>218</v>
      </c>
      <c r="FA6" s="288" t="s">
        <v>429</v>
      </c>
      <c r="FB6" s="288" t="s">
        <v>429</v>
      </c>
      <c r="FC6" s="287">
        <v>0</v>
      </c>
      <c r="FD6" s="287">
        <v>0</v>
      </c>
      <c r="FE6" s="287">
        <v>0</v>
      </c>
      <c r="FF6" s="357">
        <f t="shared" si="39"/>
        <v>0</v>
      </c>
      <c r="FG6" s="357">
        <f t="shared" si="40"/>
        <v>0</v>
      </c>
      <c r="FH6" s="357">
        <f t="shared" si="41"/>
        <v>0</v>
      </c>
      <c r="FK6" s="280" t="s">
        <v>432</v>
      </c>
      <c r="FL6" s="280" t="s">
        <v>141</v>
      </c>
      <c r="FM6" s="280" t="s">
        <v>429</v>
      </c>
      <c r="FN6" s="280" t="s">
        <v>429</v>
      </c>
      <c r="FO6" s="357">
        <v>366914522</v>
      </c>
      <c r="FP6" s="306">
        <f t="shared" si="42"/>
        <v>366914.522</v>
      </c>
      <c r="FR6" s="364" t="s">
        <v>424</v>
      </c>
      <c r="FS6" s="280" t="s">
        <v>218</v>
      </c>
      <c r="FT6" s="280" t="s">
        <v>474</v>
      </c>
      <c r="FU6" s="280" t="s">
        <v>290</v>
      </c>
      <c r="FV6" s="357">
        <v>0</v>
      </c>
      <c r="FW6" s="357">
        <v>54940335000</v>
      </c>
      <c r="FX6" s="357">
        <v>54940335000</v>
      </c>
      <c r="FY6" s="306">
        <f t="shared" si="43"/>
        <v>0</v>
      </c>
      <c r="FZ6" s="306">
        <f>FW6/$GA$1*$GB$1</f>
        <v>54940335</v>
      </c>
      <c r="GA6" s="306">
        <f t="shared" si="45"/>
        <v>54940335</v>
      </c>
      <c r="GD6" s="280" t="s">
        <v>426</v>
      </c>
      <c r="GE6" s="280" t="s">
        <v>861</v>
      </c>
      <c r="GF6" s="280" t="s">
        <v>450</v>
      </c>
      <c r="GG6" s="280" t="s">
        <v>272</v>
      </c>
      <c r="GH6" s="357">
        <v>1896622</v>
      </c>
      <c r="GI6" s="357">
        <f t="shared" si="46"/>
        <v>1896.6220000000001</v>
      </c>
      <c r="GK6" s="280" t="s">
        <v>424</v>
      </c>
      <c r="GL6" s="280" t="s">
        <v>218</v>
      </c>
      <c r="GM6" s="280" t="s">
        <v>474</v>
      </c>
      <c r="GN6" s="280" t="s">
        <v>290</v>
      </c>
      <c r="GO6" s="357">
        <v>0</v>
      </c>
      <c r="GP6" s="357">
        <v>54940335000</v>
      </c>
      <c r="GQ6" s="357">
        <v>54940335000</v>
      </c>
      <c r="GR6" s="357">
        <f t="shared" si="47"/>
        <v>0</v>
      </c>
      <c r="GS6" s="357">
        <f t="shared" si="48"/>
        <v>54940335</v>
      </c>
      <c r="GT6" s="357">
        <f t="shared" si="49"/>
        <v>54940335</v>
      </c>
      <c r="GV6" s="365" t="s">
        <v>426</v>
      </c>
      <c r="GW6" s="495" t="s">
        <v>861</v>
      </c>
      <c r="GX6" s="495" t="s">
        <v>451</v>
      </c>
      <c r="GY6" s="495" t="s">
        <v>452</v>
      </c>
      <c r="GZ6" s="366">
        <v>110302648</v>
      </c>
      <c r="HA6" s="366">
        <f t="shared" si="50"/>
        <v>110302.648</v>
      </c>
      <c r="HC6" s="280" t="s">
        <v>424</v>
      </c>
      <c r="HD6" s="280" t="s">
        <v>218</v>
      </c>
      <c r="HE6" s="280" t="s">
        <v>425</v>
      </c>
      <c r="HF6" s="280" t="s">
        <v>312</v>
      </c>
      <c r="HG6" s="305">
        <v>0</v>
      </c>
      <c r="HH6" s="305">
        <v>20672572194</v>
      </c>
      <c r="HI6" s="305">
        <v>20672572194</v>
      </c>
      <c r="HJ6" s="305">
        <f t="shared" si="51"/>
        <v>0</v>
      </c>
      <c r="HK6" s="305">
        <f t="shared" si="52"/>
        <v>20672572.193999998</v>
      </c>
      <c r="HL6" s="305">
        <f t="shared" si="53"/>
        <v>20672572.193999998</v>
      </c>
    </row>
    <row r="7" spans="1:220" ht="15" customHeight="1" x14ac:dyDescent="0.2">
      <c r="A7" s="286" t="s">
        <v>426</v>
      </c>
      <c r="B7" s="288" t="s">
        <v>861</v>
      </c>
      <c r="C7" s="286" t="s">
        <v>451</v>
      </c>
      <c r="D7" s="288" t="s">
        <v>452</v>
      </c>
      <c r="E7" s="287">
        <v>300000000</v>
      </c>
      <c r="F7" s="287">
        <v>0</v>
      </c>
      <c r="G7" s="287">
        <v>0</v>
      </c>
      <c r="H7" s="287">
        <f t="shared" si="7"/>
        <v>312600</v>
      </c>
      <c r="I7" s="287">
        <f t="shared" si="8"/>
        <v>0</v>
      </c>
      <c r="J7" s="287">
        <f t="shared" si="9"/>
        <v>0</v>
      </c>
      <c r="M7" s="392" t="s">
        <v>794</v>
      </c>
      <c r="N7" s="393" t="s">
        <v>795</v>
      </c>
      <c r="O7" s="392" t="s">
        <v>429</v>
      </c>
      <c r="P7" s="392" t="s">
        <v>429</v>
      </c>
      <c r="Q7" s="394">
        <v>101430000</v>
      </c>
      <c r="R7" s="394">
        <f t="shared" si="10"/>
        <v>105690.06</v>
      </c>
      <c r="T7" s="395" t="s">
        <v>426</v>
      </c>
      <c r="U7" s="396" t="s">
        <v>861</v>
      </c>
      <c r="V7" s="395" t="s">
        <v>453</v>
      </c>
      <c r="W7" s="396" t="s">
        <v>269</v>
      </c>
      <c r="X7" s="397">
        <v>2642082000</v>
      </c>
      <c r="Y7" s="397">
        <v>0</v>
      </c>
      <c r="Z7" s="397">
        <v>0</v>
      </c>
      <c r="AA7" s="358">
        <f t="shared" si="11"/>
        <v>2753049.4440000001</v>
      </c>
      <c r="AB7" s="358">
        <f t="shared" si="12"/>
        <v>0</v>
      </c>
      <c r="AC7" s="358">
        <f t="shared" si="13"/>
        <v>0</v>
      </c>
      <c r="AE7" s="286" t="s">
        <v>786</v>
      </c>
      <c r="AF7" s="286" t="s">
        <v>787</v>
      </c>
      <c r="AG7" s="286" t="s">
        <v>429</v>
      </c>
      <c r="AH7" s="286" t="s">
        <v>429</v>
      </c>
      <c r="AI7" s="288" t="s">
        <v>516</v>
      </c>
      <c r="AJ7" s="287">
        <v>9999958</v>
      </c>
      <c r="AK7" s="287">
        <f t="shared" si="14"/>
        <v>9999.9580000000005</v>
      </c>
      <c r="AM7" s="288" t="s">
        <v>424</v>
      </c>
      <c r="AN7" s="288" t="s">
        <v>218</v>
      </c>
      <c r="AO7" s="288" t="s">
        <v>429</v>
      </c>
      <c r="AP7" s="288" t="s">
        <v>429</v>
      </c>
      <c r="AQ7" s="288" t="s">
        <v>516</v>
      </c>
      <c r="AR7" s="398">
        <v>0</v>
      </c>
      <c r="AS7" s="398">
        <v>0</v>
      </c>
      <c r="AT7" s="398">
        <v>0</v>
      </c>
      <c r="AU7" s="398">
        <f t="shared" si="15"/>
        <v>0</v>
      </c>
      <c r="AV7" s="398">
        <f t="shared" si="16"/>
        <v>0</v>
      </c>
      <c r="AW7" s="398">
        <f t="shared" si="17"/>
        <v>0</v>
      </c>
      <c r="AY7" s="365" t="s">
        <v>788</v>
      </c>
      <c r="AZ7" s="288" t="s">
        <v>789</v>
      </c>
      <c r="BA7" s="365" t="s">
        <v>429</v>
      </c>
      <c r="BB7" s="288" t="s">
        <v>429</v>
      </c>
      <c r="BC7" s="366">
        <v>6815555087</v>
      </c>
      <c r="BD7" s="366">
        <f t="shared" si="18"/>
        <v>6815555.0870000003</v>
      </c>
      <c r="BF7" s="365" t="s">
        <v>424</v>
      </c>
      <c r="BG7" s="399" t="s">
        <v>218</v>
      </c>
      <c r="BH7" s="286" t="s">
        <v>474</v>
      </c>
      <c r="BI7" s="288" t="s">
        <v>290</v>
      </c>
      <c r="BJ7" s="366">
        <v>0</v>
      </c>
      <c r="BK7" s="366">
        <v>54940335000</v>
      </c>
      <c r="BL7" s="366">
        <v>33043723878</v>
      </c>
      <c r="BM7" s="366">
        <f t="shared" si="19"/>
        <v>0</v>
      </c>
      <c r="BN7" s="366">
        <f t="shared" si="20"/>
        <v>54940335</v>
      </c>
      <c r="BO7" s="366">
        <f t="shared" si="21"/>
        <v>33043723.877999999</v>
      </c>
      <c r="BR7" s="365" t="s">
        <v>432</v>
      </c>
      <c r="BS7" s="288" t="s">
        <v>141</v>
      </c>
      <c r="BT7" s="365" t="s">
        <v>429</v>
      </c>
      <c r="BU7" s="286" t="s">
        <v>429</v>
      </c>
      <c r="BV7" s="366">
        <v>2771721054</v>
      </c>
      <c r="BW7" s="366">
        <f t="shared" si="22"/>
        <v>2771721.054</v>
      </c>
      <c r="BY7" s="286" t="s">
        <v>424</v>
      </c>
      <c r="BZ7" s="286" t="s">
        <v>218</v>
      </c>
      <c r="CA7" s="286" t="s">
        <v>425</v>
      </c>
      <c r="CB7" s="286" t="s">
        <v>312</v>
      </c>
      <c r="CC7" s="288" t="s">
        <v>516</v>
      </c>
      <c r="CD7" s="287">
        <v>0</v>
      </c>
      <c r="CE7" s="287">
        <v>20617907292</v>
      </c>
      <c r="CF7" s="287">
        <v>20617907292</v>
      </c>
      <c r="CG7" s="287">
        <f t="shared" si="23"/>
        <v>0</v>
      </c>
      <c r="CH7" s="287">
        <f t="shared" si="24"/>
        <v>20617907.291999999</v>
      </c>
      <c r="CI7" s="287">
        <f t="shared" si="25"/>
        <v>20617907.291999999</v>
      </c>
      <c r="CK7" s="288" t="s">
        <v>426</v>
      </c>
      <c r="CL7" s="288" t="s">
        <v>861</v>
      </c>
      <c r="CM7" s="288" t="s">
        <v>450</v>
      </c>
      <c r="CN7" s="288" t="s">
        <v>272</v>
      </c>
      <c r="CO7" s="287">
        <v>490000</v>
      </c>
      <c r="CP7" s="287">
        <f t="shared" si="26"/>
        <v>490</v>
      </c>
      <c r="CR7" s="288" t="s">
        <v>424</v>
      </c>
      <c r="CS7" s="288" t="s">
        <v>218</v>
      </c>
      <c r="CT7" s="288" t="s">
        <v>474</v>
      </c>
      <c r="CU7" s="288" t="s">
        <v>290</v>
      </c>
      <c r="CV7" s="287">
        <v>0</v>
      </c>
      <c r="CW7" s="287">
        <v>54940335000</v>
      </c>
      <c r="CX7" s="287">
        <v>54940335000</v>
      </c>
      <c r="CY7" s="287">
        <f t="shared" si="27"/>
        <v>0</v>
      </c>
      <c r="CZ7" s="287">
        <f t="shared" si="28"/>
        <v>54940335</v>
      </c>
      <c r="DA7" s="287">
        <f t="shared" si="29"/>
        <v>54940335</v>
      </c>
      <c r="DC7" s="365" t="s">
        <v>432</v>
      </c>
      <c r="DD7" s="288" t="s">
        <v>141</v>
      </c>
      <c r="DE7" s="365" t="s">
        <v>429</v>
      </c>
      <c r="DF7" s="286" t="s">
        <v>429</v>
      </c>
      <c r="DG7" s="366">
        <v>1310978671</v>
      </c>
      <c r="DH7" s="366">
        <f t="shared" si="30"/>
        <v>1310978.6710000001</v>
      </c>
      <c r="DK7" s="286" t="s">
        <v>424</v>
      </c>
      <c r="DL7" s="288" t="s">
        <v>218</v>
      </c>
      <c r="DM7" s="286" t="s">
        <v>429</v>
      </c>
      <c r="DN7" s="288" t="s">
        <v>429</v>
      </c>
      <c r="DO7" s="287">
        <v>0</v>
      </c>
      <c r="DP7" s="287">
        <v>0</v>
      </c>
      <c r="DQ7" s="287">
        <v>0</v>
      </c>
      <c r="DR7" s="287">
        <f t="shared" si="31"/>
        <v>0</v>
      </c>
      <c r="DS7" s="287">
        <f t="shared" si="32"/>
        <v>0</v>
      </c>
      <c r="DT7" s="287">
        <f t="shared" si="33"/>
        <v>0</v>
      </c>
      <c r="DW7" s="367" t="s">
        <v>786</v>
      </c>
      <c r="DX7" s="400" t="s">
        <v>787</v>
      </c>
      <c r="DY7" s="367" t="s">
        <v>429</v>
      </c>
      <c r="DZ7" s="401" t="s">
        <v>429</v>
      </c>
      <c r="EA7" s="366">
        <v>4109017011</v>
      </c>
      <c r="EB7" s="366">
        <f t="shared" si="34"/>
        <v>4109017.0109999999</v>
      </c>
      <c r="EE7" s="286" t="s">
        <v>424</v>
      </c>
      <c r="EF7" s="288" t="s">
        <v>218</v>
      </c>
      <c r="EG7" s="288" t="s">
        <v>429</v>
      </c>
      <c r="EH7" s="288" t="s">
        <v>429</v>
      </c>
      <c r="EI7" s="287">
        <v>0</v>
      </c>
      <c r="EJ7" s="287">
        <v>0</v>
      </c>
      <c r="EK7" s="287">
        <v>0</v>
      </c>
      <c r="EL7" s="358">
        <f t="shared" si="35"/>
        <v>0</v>
      </c>
      <c r="EM7" s="358">
        <f t="shared" si="36"/>
        <v>0</v>
      </c>
      <c r="EN7" s="358">
        <f t="shared" si="37"/>
        <v>0</v>
      </c>
      <c r="EQ7" s="286" t="s">
        <v>792</v>
      </c>
      <c r="ER7" s="288" t="s">
        <v>793</v>
      </c>
      <c r="ES7" s="286" t="s">
        <v>429</v>
      </c>
      <c r="ET7" s="286" t="s">
        <v>429</v>
      </c>
      <c r="EU7" s="287">
        <v>74999999</v>
      </c>
      <c r="EV7" s="357">
        <f t="shared" si="38"/>
        <v>74999.998999999996</v>
      </c>
      <c r="EY7" s="286" t="s">
        <v>424</v>
      </c>
      <c r="EZ7" s="288" t="s">
        <v>218</v>
      </c>
      <c r="FA7" s="288" t="s">
        <v>425</v>
      </c>
      <c r="FB7" s="288" t="s">
        <v>312</v>
      </c>
      <c r="FC7" s="287">
        <v>0</v>
      </c>
      <c r="FD7" s="287">
        <v>20617907292</v>
      </c>
      <c r="FE7" s="287">
        <v>20617907292</v>
      </c>
      <c r="FF7" s="357">
        <f t="shared" si="39"/>
        <v>0</v>
      </c>
      <c r="FG7" s="357">
        <f t="shared" si="40"/>
        <v>20617907.291999999</v>
      </c>
      <c r="FH7" s="357">
        <f t="shared" si="41"/>
        <v>20617907.291999999</v>
      </c>
      <c r="FK7" s="280" t="s">
        <v>786</v>
      </c>
      <c r="FL7" s="280" t="s">
        <v>787</v>
      </c>
      <c r="FM7" s="280" t="s">
        <v>429</v>
      </c>
      <c r="FN7" s="280" t="s">
        <v>429</v>
      </c>
      <c r="FO7" s="357">
        <v>3856496941</v>
      </c>
      <c r="FP7" s="306">
        <f t="shared" si="42"/>
        <v>3856496.9410000001</v>
      </c>
      <c r="FR7" s="364" t="s">
        <v>424</v>
      </c>
      <c r="FS7" s="280" t="s">
        <v>218</v>
      </c>
      <c r="FT7" s="280" t="s">
        <v>425</v>
      </c>
      <c r="FU7" s="280" t="s">
        <v>312</v>
      </c>
      <c r="FV7" s="357">
        <v>0</v>
      </c>
      <c r="FW7" s="357">
        <v>20617907292</v>
      </c>
      <c r="FX7" s="357">
        <v>20617907292</v>
      </c>
      <c r="FY7" s="306">
        <f t="shared" si="43"/>
        <v>0</v>
      </c>
      <c r="FZ7" s="306">
        <f t="shared" si="44"/>
        <v>20617907.291999999</v>
      </c>
      <c r="GA7" s="306">
        <f t="shared" si="45"/>
        <v>20617907.291999999</v>
      </c>
      <c r="GD7" s="280" t="s">
        <v>426</v>
      </c>
      <c r="GE7" s="280" t="s">
        <v>861</v>
      </c>
      <c r="GF7" s="280" t="s">
        <v>453</v>
      </c>
      <c r="GG7" s="280" t="s">
        <v>269</v>
      </c>
      <c r="GH7" s="357">
        <v>43500000</v>
      </c>
      <c r="GI7" s="357">
        <f t="shared" si="46"/>
        <v>43500</v>
      </c>
      <c r="GK7" s="280" t="s">
        <v>424</v>
      </c>
      <c r="GL7" s="280" t="s">
        <v>218</v>
      </c>
      <c r="GM7" s="280" t="s">
        <v>429</v>
      </c>
      <c r="GN7" s="280" t="s">
        <v>429</v>
      </c>
      <c r="GO7" s="357">
        <v>0</v>
      </c>
      <c r="GP7" s="357">
        <v>0</v>
      </c>
      <c r="GQ7" s="357">
        <v>0</v>
      </c>
      <c r="GR7" s="357">
        <f t="shared" si="47"/>
        <v>0</v>
      </c>
      <c r="GS7" s="357">
        <f t="shared" si="48"/>
        <v>0</v>
      </c>
      <c r="GT7" s="357">
        <f t="shared" si="49"/>
        <v>0</v>
      </c>
      <c r="GV7" s="365" t="s">
        <v>426</v>
      </c>
      <c r="GW7" s="495" t="s">
        <v>861</v>
      </c>
      <c r="GX7" s="495" t="s">
        <v>427</v>
      </c>
      <c r="GY7" s="495" t="s">
        <v>270</v>
      </c>
      <c r="GZ7" s="366">
        <v>17086321</v>
      </c>
      <c r="HA7" s="366">
        <f t="shared" si="50"/>
        <v>17086.321</v>
      </c>
      <c r="HC7" s="280" t="s">
        <v>424</v>
      </c>
      <c r="HD7" s="280" t="s">
        <v>218</v>
      </c>
      <c r="HE7" s="280" t="s">
        <v>429</v>
      </c>
      <c r="HF7" s="280" t="s">
        <v>429</v>
      </c>
      <c r="HG7" s="305">
        <v>0</v>
      </c>
      <c r="HH7" s="305">
        <v>0</v>
      </c>
      <c r="HI7" s="305">
        <v>0</v>
      </c>
      <c r="HJ7" s="305">
        <f t="shared" si="51"/>
        <v>0</v>
      </c>
      <c r="HK7" s="305">
        <f t="shared" si="52"/>
        <v>0</v>
      </c>
      <c r="HL7" s="305">
        <f t="shared" si="53"/>
        <v>0</v>
      </c>
    </row>
    <row r="8" spans="1:220" ht="15" customHeight="1" x14ac:dyDescent="0.2">
      <c r="A8" s="286" t="s">
        <v>426</v>
      </c>
      <c r="B8" s="288" t="s">
        <v>861</v>
      </c>
      <c r="C8" s="286" t="s">
        <v>427</v>
      </c>
      <c r="D8" s="288" t="s">
        <v>270</v>
      </c>
      <c r="E8" s="287">
        <v>256612000</v>
      </c>
      <c r="F8" s="287">
        <v>0</v>
      </c>
      <c r="G8" s="287">
        <v>0</v>
      </c>
      <c r="H8" s="287">
        <f t="shared" si="7"/>
        <v>267389.70400000003</v>
      </c>
      <c r="I8" s="287">
        <f t="shared" si="8"/>
        <v>0</v>
      </c>
      <c r="J8" s="287">
        <f t="shared" si="9"/>
        <v>0</v>
      </c>
      <c r="M8" s="392" t="s">
        <v>800</v>
      </c>
      <c r="N8" s="393" t="s">
        <v>801</v>
      </c>
      <c r="O8" s="392" t="s">
        <v>429</v>
      </c>
      <c r="P8" s="392" t="s">
        <v>429</v>
      </c>
      <c r="Q8" s="394">
        <v>36200000</v>
      </c>
      <c r="R8" s="394">
        <f t="shared" si="10"/>
        <v>37720.400000000001</v>
      </c>
      <c r="T8" s="395" t="s">
        <v>426</v>
      </c>
      <c r="U8" s="396" t="s">
        <v>861</v>
      </c>
      <c r="V8" s="395" t="s">
        <v>475</v>
      </c>
      <c r="W8" s="396" t="s">
        <v>333</v>
      </c>
      <c r="X8" s="397">
        <v>587229000</v>
      </c>
      <c r="Y8" s="397">
        <v>0</v>
      </c>
      <c r="Z8" s="397">
        <v>0</v>
      </c>
      <c r="AA8" s="358">
        <f t="shared" si="11"/>
        <v>611892.61800000002</v>
      </c>
      <c r="AB8" s="358">
        <f t="shared" si="12"/>
        <v>0</v>
      </c>
      <c r="AC8" s="358">
        <f t="shared" si="13"/>
        <v>0</v>
      </c>
      <c r="AE8" s="286" t="s">
        <v>788</v>
      </c>
      <c r="AF8" s="286" t="s">
        <v>789</v>
      </c>
      <c r="AG8" s="286" t="s">
        <v>429</v>
      </c>
      <c r="AH8" s="286" t="s">
        <v>429</v>
      </c>
      <c r="AI8" s="288" t="s">
        <v>516</v>
      </c>
      <c r="AJ8" s="287">
        <v>2493326736</v>
      </c>
      <c r="AK8" s="287">
        <f t="shared" si="14"/>
        <v>2493326.736</v>
      </c>
      <c r="AM8" s="288" t="s">
        <v>426</v>
      </c>
      <c r="AN8" s="288" t="s">
        <v>861</v>
      </c>
      <c r="AO8" s="288" t="s">
        <v>453</v>
      </c>
      <c r="AP8" s="288" t="s">
        <v>269</v>
      </c>
      <c r="AQ8" s="288" t="s">
        <v>516</v>
      </c>
      <c r="AR8" s="398">
        <v>2642082000</v>
      </c>
      <c r="AS8" s="398">
        <v>0</v>
      </c>
      <c r="AT8" s="398">
        <v>0</v>
      </c>
      <c r="AU8" s="398">
        <f t="shared" si="15"/>
        <v>2642082</v>
      </c>
      <c r="AV8" s="398">
        <f t="shared" si="16"/>
        <v>0</v>
      </c>
      <c r="AW8" s="398">
        <f t="shared" si="17"/>
        <v>0</v>
      </c>
      <c r="AY8" s="365" t="s">
        <v>790</v>
      </c>
      <c r="AZ8" s="288" t="s">
        <v>791</v>
      </c>
      <c r="BA8" s="365" t="s">
        <v>429</v>
      </c>
      <c r="BB8" s="288" t="s">
        <v>429</v>
      </c>
      <c r="BC8" s="366">
        <v>4846954252</v>
      </c>
      <c r="BD8" s="366">
        <f t="shared" si="18"/>
        <v>4846954.2520000003</v>
      </c>
      <c r="BF8" s="365" t="s">
        <v>426</v>
      </c>
      <c r="BG8" s="399" t="s">
        <v>861</v>
      </c>
      <c r="BH8" s="286" t="s">
        <v>453</v>
      </c>
      <c r="BI8" s="288" t="s">
        <v>269</v>
      </c>
      <c r="BJ8" s="366">
        <v>2642082000</v>
      </c>
      <c r="BK8" s="366">
        <v>0</v>
      </c>
      <c r="BL8" s="366">
        <v>0</v>
      </c>
      <c r="BM8" s="366">
        <f t="shared" si="19"/>
        <v>2642082</v>
      </c>
      <c r="BN8" s="366">
        <f t="shared" si="20"/>
        <v>0</v>
      </c>
      <c r="BO8" s="366">
        <f t="shared" si="21"/>
        <v>0</v>
      </c>
      <c r="BR8" s="365" t="s">
        <v>786</v>
      </c>
      <c r="BS8" s="288" t="s">
        <v>787</v>
      </c>
      <c r="BT8" s="365" t="s">
        <v>429</v>
      </c>
      <c r="BU8" s="286" t="s">
        <v>429</v>
      </c>
      <c r="BV8" s="366">
        <v>335487721</v>
      </c>
      <c r="BW8" s="366">
        <f t="shared" si="22"/>
        <v>335487.72100000002</v>
      </c>
      <c r="BY8" s="286" t="s">
        <v>426</v>
      </c>
      <c r="BZ8" s="286" t="s">
        <v>861</v>
      </c>
      <c r="CA8" s="286" t="s">
        <v>453</v>
      </c>
      <c r="CB8" s="286" t="s">
        <v>269</v>
      </c>
      <c r="CC8" s="288" t="s">
        <v>516</v>
      </c>
      <c r="CD8" s="287">
        <v>2642082000</v>
      </c>
      <c r="CE8" s="287">
        <v>0</v>
      </c>
      <c r="CF8" s="287">
        <v>0</v>
      </c>
      <c r="CG8" s="287">
        <f t="shared" si="23"/>
        <v>2642082</v>
      </c>
      <c r="CH8" s="287">
        <f t="shared" si="24"/>
        <v>0</v>
      </c>
      <c r="CI8" s="287">
        <f t="shared" si="25"/>
        <v>0</v>
      </c>
      <c r="CK8" s="288" t="s">
        <v>896</v>
      </c>
      <c r="CL8" s="288" t="s">
        <v>897</v>
      </c>
      <c r="CM8" s="288" t="s">
        <v>429</v>
      </c>
      <c r="CN8" s="288" t="s">
        <v>429</v>
      </c>
      <c r="CO8" s="287">
        <v>17290000</v>
      </c>
      <c r="CP8" s="287">
        <f t="shared" si="26"/>
        <v>17290</v>
      </c>
      <c r="CR8" s="288" t="s">
        <v>426</v>
      </c>
      <c r="CS8" s="288" t="s">
        <v>861</v>
      </c>
      <c r="CT8" s="288" t="s">
        <v>453</v>
      </c>
      <c r="CU8" s="288" t="s">
        <v>269</v>
      </c>
      <c r="CV8" s="287">
        <v>2642082000</v>
      </c>
      <c r="CW8" s="287">
        <v>0</v>
      </c>
      <c r="CX8" s="287">
        <v>0</v>
      </c>
      <c r="CY8" s="287">
        <f t="shared" si="27"/>
        <v>2642082</v>
      </c>
      <c r="CZ8" s="287">
        <f t="shared" si="28"/>
        <v>0</v>
      </c>
      <c r="DA8" s="287">
        <f t="shared" si="29"/>
        <v>0</v>
      </c>
      <c r="DC8" s="365" t="s">
        <v>786</v>
      </c>
      <c r="DD8" s="288" t="s">
        <v>787</v>
      </c>
      <c r="DE8" s="365" t="s">
        <v>429</v>
      </c>
      <c r="DF8" s="286" t="s">
        <v>429</v>
      </c>
      <c r="DG8" s="366">
        <v>3432868507</v>
      </c>
      <c r="DH8" s="366">
        <f t="shared" si="30"/>
        <v>3432868.5070000002</v>
      </c>
      <c r="DK8" s="286" t="s">
        <v>426</v>
      </c>
      <c r="DL8" s="288" t="s">
        <v>861</v>
      </c>
      <c r="DM8" s="286" t="s">
        <v>453</v>
      </c>
      <c r="DN8" s="288" t="s">
        <v>269</v>
      </c>
      <c r="DO8" s="287">
        <v>2711532000</v>
      </c>
      <c r="DP8" s="287">
        <v>0</v>
      </c>
      <c r="DQ8" s="287">
        <v>0</v>
      </c>
      <c r="DR8" s="287">
        <f t="shared" si="31"/>
        <v>2711532</v>
      </c>
      <c r="DS8" s="287">
        <f t="shared" si="32"/>
        <v>0</v>
      </c>
      <c r="DT8" s="287">
        <f t="shared" si="33"/>
        <v>0</v>
      </c>
      <c r="DW8" s="367" t="s">
        <v>788</v>
      </c>
      <c r="DX8" s="400" t="s">
        <v>789</v>
      </c>
      <c r="DY8" s="367" t="s">
        <v>429</v>
      </c>
      <c r="DZ8" s="401" t="s">
        <v>429</v>
      </c>
      <c r="EA8" s="366">
        <v>4489045005</v>
      </c>
      <c r="EB8" s="366">
        <f t="shared" si="34"/>
        <v>4489045.0049999999</v>
      </c>
      <c r="EE8" s="286" t="s">
        <v>426</v>
      </c>
      <c r="EF8" s="288" t="s">
        <v>861</v>
      </c>
      <c r="EG8" s="288" t="s">
        <v>453</v>
      </c>
      <c r="EH8" s="288" t="s">
        <v>269</v>
      </c>
      <c r="EI8" s="287">
        <v>2896232000</v>
      </c>
      <c r="EJ8" s="287">
        <v>0</v>
      </c>
      <c r="EK8" s="287">
        <v>0</v>
      </c>
      <c r="EL8" s="358">
        <f t="shared" si="35"/>
        <v>2896232</v>
      </c>
      <c r="EM8" s="358">
        <f t="shared" si="36"/>
        <v>0</v>
      </c>
      <c r="EN8" s="358">
        <f t="shared" si="37"/>
        <v>0</v>
      </c>
      <c r="EQ8" s="286" t="s">
        <v>794</v>
      </c>
      <c r="ER8" s="288" t="s">
        <v>795</v>
      </c>
      <c r="ES8" s="286" t="s">
        <v>429</v>
      </c>
      <c r="ET8" s="286" t="s">
        <v>429</v>
      </c>
      <c r="EU8" s="287">
        <v>188566000</v>
      </c>
      <c r="EV8" s="357">
        <f t="shared" si="38"/>
        <v>188566</v>
      </c>
      <c r="EY8" s="286" t="s">
        <v>426</v>
      </c>
      <c r="EZ8" s="288" t="s">
        <v>861</v>
      </c>
      <c r="FA8" s="288" t="s">
        <v>453</v>
      </c>
      <c r="FB8" s="288" t="s">
        <v>269</v>
      </c>
      <c r="FC8" s="287">
        <v>2896232000</v>
      </c>
      <c r="FD8" s="287">
        <v>0</v>
      </c>
      <c r="FE8" s="287">
        <v>0</v>
      </c>
      <c r="FF8" s="357">
        <f t="shared" si="39"/>
        <v>2896232</v>
      </c>
      <c r="FG8" s="357">
        <f t="shared" si="40"/>
        <v>0</v>
      </c>
      <c r="FH8" s="357">
        <f t="shared" si="41"/>
        <v>0</v>
      </c>
      <c r="FK8" s="280" t="s">
        <v>788</v>
      </c>
      <c r="FL8" s="280" t="s">
        <v>789</v>
      </c>
      <c r="FM8" s="280" t="s">
        <v>429</v>
      </c>
      <c r="FN8" s="280" t="s">
        <v>429</v>
      </c>
      <c r="FO8" s="357">
        <v>10621237711</v>
      </c>
      <c r="FP8" s="306">
        <f t="shared" si="42"/>
        <v>10621237.710999999</v>
      </c>
      <c r="FR8" s="364" t="s">
        <v>426</v>
      </c>
      <c r="FS8" s="280" t="s">
        <v>861</v>
      </c>
      <c r="FT8" s="280" t="s">
        <v>453</v>
      </c>
      <c r="FU8" s="280" t="s">
        <v>269</v>
      </c>
      <c r="FV8" s="357">
        <v>2896232000</v>
      </c>
      <c r="FW8" s="357">
        <v>0</v>
      </c>
      <c r="FX8" s="357">
        <v>0</v>
      </c>
      <c r="FY8" s="306">
        <f t="shared" si="43"/>
        <v>2896232</v>
      </c>
      <c r="FZ8" s="306">
        <f t="shared" si="44"/>
        <v>0</v>
      </c>
      <c r="GA8" s="306">
        <f t="shared" si="45"/>
        <v>0</v>
      </c>
      <c r="GD8" s="280" t="s">
        <v>896</v>
      </c>
      <c r="GE8" s="280" t="s">
        <v>897</v>
      </c>
      <c r="GF8" s="280" t="s">
        <v>429</v>
      </c>
      <c r="GG8" s="280" t="s">
        <v>429</v>
      </c>
      <c r="GH8" s="357">
        <v>41778751</v>
      </c>
      <c r="GI8" s="357">
        <f t="shared" si="46"/>
        <v>41778.750999999997</v>
      </c>
      <c r="GK8" s="280" t="s">
        <v>426</v>
      </c>
      <c r="GL8" s="280" t="s">
        <v>861</v>
      </c>
      <c r="GM8" s="280" t="s">
        <v>453</v>
      </c>
      <c r="GN8" s="280" t="s">
        <v>269</v>
      </c>
      <c r="GO8" s="357">
        <v>2861560000</v>
      </c>
      <c r="GP8" s="357">
        <v>0</v>
      </c>
      <c r="GQ8" s="357">
        <v>0</v>
      </c>
      <c r="GR8" s="357">
        <f t="shared" si="47"/>
        <v>2861560</v>
      </c>
      <c r="GS8" s="357">
        <f t="shared" si="48"/>
        <v>0</v>
      </c>
      <c r="GT8" s="357">
        <f t="shared" si="49"/>
        <v>0</v>
      </c>
      <c r="GV8" s="365" t="s">
        <v>896</v>
      </c>
      <c r="GW8" s="495" t="s">
        <v>897</v>
      </c>
      <c r="GX8" s="495" t="s">
        <v>429</v>
      </c>
      <c r="GY8" s="495" t="s">
        <v>429</v>
      </c>
      <c r="GZ8" s="366">
        <v>38000000</v>
      </c>
      <c r="HA8" s="366">
        <f t="shared" si="50"/>
        <v>38000</v>
      </c>
      <c r="HC8" s="280" t="s">
        <v>426</v>
      </c>
      <c r="HD8" s="280" t="s">
        <v>861</v>
      </c>
      <c r="HE8" s="280" t="s">
        <v>453</v>
      </c>
      <c r="HF8" s="280" t="s">
        <v>269</v>
      </c>
      <c r="HG8" s="305">
        <v>3031134245</v>
      </c>
      <c r="HH8" s="305">
        <v>0</v>
      </c>
      <c r="HI8" s="305">
        <v>0</v>
      </c>
      <c r="HJ8" s="305">
        <f t="shared" si="51"/>
        <v>3031134.2450000001</v>
      </c>
      <c r="HK8" s="305">
        <f t="shared" si="52"/>
        <v>0</v>
      </c>
      <c r="HL8" s="305">
        <f t="shared" si="53"/>
        <v>0</v>
      </c>
    </row>
    <row r="9" spans="1:220" ht="15" customHeight="1" x14ac:dyDescent="0.2">
      <c r="A9" s="286" t="s">
        <v>426</v>
      </c>
      <c r="B9" s="288" t="s">
        <v>861</v>
      </c>
      <c r="C9" s="286" t="s">
        <v>428</v>
      </c>
      <c r="D9" s="288" t="s">
        <v>313</v>
      </c>
      <c r="E9" s="287">
        <v>5000000</v>
      </c>
      <c r="F9" s="287">
        <v>0</v>
      </c>
      <c r="G9" s="287">
        <v>0</v>
      </c>
      <c r="H9" s="287">
        <f t="shared" si="7"/>
        <v>5210</v>
      </c>
      <c r="I9" s="287">
        <f t="shared" si="8"/>
        <v>0</v>
      </c>
      <c r="J9" s="287">
        <f t="shared" si="9"/>
        <v>0</v>
      </c>
      <c r="M9" s="392" t="s">
        <v>804</v>
      </c>
      <c r="N9" s="393" t="s">
        <v>805</v>
      </c>
      <c r="O9" s="392" t="s">
        <v>429</v>
      </c>
      <c r="P9" s="392" t="s">
        <v>429</v>
      </c>
      <c r="Q9" s="394">
        <v>947121500</v>
      </c>
      <c r="R9" s="394">
        <f t="shared" si="10"/>
        <v>986900.603</v>
      </c>
      <c r="T9" s="395" t="s">
        <v>426</v>
      </c>
      <c r="U9" s="396" t="s">
        <v>861</v>
      </c>
      <c r="V9" s="395" t="s">
        <v>451</v>
      </c>
      <c r="W9" s="396" t="s">
        <v>452</v>
      </c>
      <c r="X9" s="397">
        <v>300000000</v>
      </c>
      <c r="Y9" s="397">
        <v>0</v>
      </c>
      <c r="Z9" s="397">
        <v>0</v>
      </c>
      <c r="AA9" s="358">
        <f t="shared" si="11"/>
        <v>312600</v>
      </c>
      <c r="AB9" s="358">
        <f t="shared" si="12"/>
        <v>0</v>
      </c>
      <c r="AC9" s="358">
        <f t="shared" si="13"/>
        <v>0</v>
      </c>
      <c r="AE9" s="286" t="s">
        <v>792</v>
      </c>
      <c r="AF9" s="286" t="s">
        <v>793</v>
      </c>
      <c r="AG9" s="286" t="s">
        <v>429</v>
      </c>
      <c r="AH9" s="286" t="s">
        <v>429</v>
      </c>
      <c r="AI9" s="288" t="s">
        <v>516</v>
      </c>
      <c r="AJ9" s="287">
        <v>74436520</v>
      </c>
      <c r="AK9" s="287">
        <f t="shared" si="14"/>
        <v>74436.52</v>
      </c>
      <c r="AM9" s="288" t="s">
        <v>426</v>
      </c>
      <c r="AN9" s="288" t="s">
        <v>861</v>
      </c>
      <c r="AO9" s="288" t="s">
        <v>475</v>
      </c>
      <c r="AP9" s="288" t="s">
        <v>333</v>
      </c>
      <c r="AQ9" s="288" t="s">
        <v>516</v>
      </c>
      <c r="AR9" s="398">
        <v>587229000</v>
      </c>
      <c r="AS9" s="398">
        <v>0</v>
      </c>
      <c r="AT9" s="398">
        <v>0</v>
      </c>
      <c r="AU9" s="398">
        <f t="shared" si="15"/>
        <v>587229</v>
      </c>
      <c r="AV9" s="398">
        <f t="shared" si="16"/>
        <v>0</v>
      </c>
      <c r="AW9" s="398">
        <f t="shared" si="17"/>
        <v>0</v>
      </c>
      <c r="AY9" s="365" t="s">
        <v>792</v>
      </c>
      <c r="AZ9" s="288" t="s">
        <v>793</v>
      </c>
      <c r="BA9" s="365" t="s">
        <v>429</v>
      </c>
      <c r="BB9" s="288" t="s">
        <v>429</v>
      </c>
      <c r="BC9" s="366">
        <v>149569511</v>
      </c>
      <c r="BD9" s="366">
        <f t="shared" si="18"/>
        <v>149569.511</v>
      </c>
      <c r="BF9" s="365" t="s">
        <v>426</v>
      </c>
      <c r="BG9" s="399" t="s">
        <v>861</v>
      </c>
      <c r="BH9" s="286" t="s">
        <v>475</v>
      </c>
      <c r="BI9" s="288" t="s">
        <v>333</v>
      </c>
      <c r="BJ9" s="366">
        <v>587229000</v>
      </c>
      <c r="BK9" s="366">
        <v>0</v>
      </c>
      <c r="BL9" s="366">
        <v>0</v>
      </c>
      <c r="BM9" s="366">
        <f t="shared" si="19"/>
        <v>587229</v>
      </c>
      <c r="BN9" s="366">
        <f t="shared" si="20"/>
        <v>0</v>
      </c>
      <c r="BO9" s="366">
        <f t="shared" si="21"/>
        <v>0</v>
      </c>
      <c r="BR9" s="365" t="s">
        <v>788</v>
      </c>
      <c r="BS9" s="288" t="s">
        <v>789</v>
      </c>
      <c r="BT9" s="365" t="s">
        <v>429</v>
      </c>
      <c r="BU9" s="286" t="s">
        <v>429</v>
      </c>
      <c r="BV9" s="366">
        <v>5407289910</v>
      </c>
      <c r="BW9" s="366">
        <f t="shared" si="22"/>
        <v>5407289.9100000001</v>
      </c>
      <c r="BY9" s="286" t="s">
        <v>426</v>
      </c>
      <c r="BZ9" s="286" t="s">
        <v>861</v>
      </c>
      <c r="CA9" s="286" t="s">
        <v>475</v>
      </c>
      <c r="CB9" s="286" t="s">
        <v>333</v>
      </c>
      <c r="CC9" s="288" t="s">
        <v>516</v>
      </c>
      <c r="CD9" s="287">
        <v>587229000</v>
      </c>
      <c r="CE9" s="287">
        <v>0</v>
      </c>
      <c r="CF9" s="287">
        <v>0</v>
      </c>
      <c r="CG9" s="287">
        <f t="shared" si="23"/>
        <v>587229</v>
      </c>
      <c r="CH9" s="287">
        <f t="shared" si="24"/>
        <v>0</v>
      </c>
      <c r="CI9" s="287">
        <f t="shared" si="25"/>
        <v>0</v>
      </c>
      <c r="CK9" s="288" t="s">
        <v>786</v>
      </c>
      <c r="CL9" s="288" t="s">
        <v>787</v>
      </c>
      <c r="CM9" s="288" t="s">
        <v>429</v>
      </c>
      <c r="CN9" s="288" t="s">
        <v>429</v>
      </c>
      <c r="CO9" s="287">
        <v>265650335</v>
      </c>
      <c r="CP9" s="287">
        <f t="shared" si="26"/>
        <v>265650.33500000002</v>
      </c>
      <c r="CR9" s="288" t="s">
        <v>426</v>
      </c>
      <c r="CS9" s="288" t="s">
        <v>861</v>
      </c>
      <c r="CT9" s="288" t="s">
        <v>475</v>
      </c>
      <c r="CU9" s="288" t="s">
        <v>333</v>
      </c>
      <c r="CV9" s="287">
        <v>587229000</v>
      </c>
      <c r="CW9" s="287">
        <v>0</v>
      </c>
      <c r="CX9" s="287">
        <v>0</v>
      </c>
      <c r="CY9" s="287">
        <f t="shared" si="27"/>
        <v>587229</v>
      </c>
      <c r="CZ9" s="287">
        <f t="shared" si="28"/>
        <v>0</v>
      </c>
      <c r="DA9" s="287">
        <f t="shared" si="29"/>
        <v>0</v>
      </c>
      <c r="DC9" s="365" t="s">
        <v>788</v>
      </c>
      <c r="DD9" s="288" t="s">
        <v>789</v>
      </c>
      <c r="DE9" s="365" t="s">
        <v>429</v>
      </c>
      <c r="DF9" s="286" t="s">
        <v>429</v>
      </c>
      <c r="DG9" s="366">
        <v>3617424840</v>
      </c>
      <c r="DH9" s="366">
        <f t="shared" si="30"/>
        <v>3617424.84</v>
      </c>
      <c r="DK9" s="286" t="s">
        <v>426</v>
      </c>
      <c r="DL9" s="288" t="s">
        <v>861</v>
      </c>
      <c r="DM9" s="286" t="s">
        <v>475</v>
      </c>
      <c r="DN9" s="288" t="s">
        <v>333</v>
      </c>
      <c r="DO9" s="287">
        <v>587229000</v>
      </c>
      <c r="DP9" s="287">
        <v>0</v>
      </c>
      <c r="DQ9" s="287">
        <v>0</v>
      </c>
      <c r="DR9" s="287">
        <f t="shared" si="31"/>
        <v>587229</v>
      </c>
      <c r="DS9" s="287">
        <f t="shared" si="32"/>
        <v>0</v>
      </c>
      <c r="DT9" s="287">
        <f t="shared" si="33"/>
        <v>0</v>
      </c>
      <c r="DW9" s="367" t="s">
        <v>790</v>
      </c>
      <c r="DX9" s="400" t="s">
        <v>791</v>
      </c>
      <c r="DY9" s="367" t="s">
        <v>429</v>
      </c>
      <c r="DZ9" s="401" t="s">
        <v>429</v>
      </c>
      <c r="EA9" s="366">
        <v>2132268910</v>
      </c>
      <c r="EB9" s="366">
        <f t="shared" si="34"/>
        <v>2132268.91</v>
      </c>
      <c r="EE9" s="286" t="s">
        <v>426</v>
      </c>
      <c r="EF9" s="288" t="s">
        <v>861</v>
      </c>
      <c r="EG9" s="288" t="s">
        <v>475</v>
      </c>
      <c r="EH9" s="288" t="s">
        <v>333</v>
      </c>
      <c r="EI9" s="287">
        <v>587229000</v>
      </c>
      <c r="EJ9" s="287">
        <v>0</v>
      </c>
      <c r="EK9" s="287">
        <v>0</v>
      </c>
      <c r="EL9" s="358">
        <f t="shared" si="35"/>
        <v>587229</v>
      </c>
      <c r="EM9" s="358">
        <f t="shared" si="36"/>
        <v>0</v>
      </c>
      <c r="EN9" s="358">
        <f t="shared" si="37"/>
        <v>0</v>
      </c>
      <c r="EQ9" s="286" t="s">
        <v>796</v>
      </c>
      <c r="ER9" s="288" t="s">
        <v>797</v>
      </c>
      <c r="ES9" s="286" t="s">
        <v>429</v>
      </c>
      <c r="ET9" s="286" t="s">
        <v>429</v>
      </c>
      <c r="EU9" s="287">
        <v>70686000</v>
      </c>
      <c r="EV9" s="357">
        <f t="shared" si="38"/>
        <v>70686</v>
      </c>
      <c r="EY9" s="286" t="s">
        <v>426</v>
      </c>
      <c r="EZ9" s="288" t="s">
        <v>861</v>
      </c>
      <c r="FA9" s="288" t="s">
        <v>475</v>
      </c>
      <c r="FB9" s="288" t="s">
        <v>333</v>
      </c>
      <c r="FC9" s="287">
        <v>587229000</v>
      </c>
      <c r="FD9" s="287">
        <v>0</v>
      </c>
      <c r="FE9" s="287">
        <v>0</v>
      </c>
      <c r="FF9" s="357">
        <f t="shared" si="39"/>
        <v>587229</v>
      </c>
      <c r="FG9" s="357">
        <f t="shared" si="40"/>
        <v>0</v>
      </c>
      <c r="FH9" s="357">
        <f t="shared" si="41"/>
        <v>0</v>
      </c>
      <c r="FK9" s="280" t="s">
        <v>790</v>
      </c>
      <c r="FL9" s="280" t="s">
        <v>791</v>
      </c>
      <c r="FM9" s="280" t="s">
        <v>429</v>
      </c>
      <c r="FN9" s="280" t="s">
        <v>429</v>
      </c>
      <c r="FO9" s="357">
        <v>3807290862</v>
      </c>
      <c r="FP9" s="306">
        <f t="shared" si="42"/>
        <v>3807290.8620000002</v>
      </c>
      <c r="FR9" s="364" t="s">
        <v>426</v>
      </c>
      <c r="FS9" s="280" t="s">
        <v>861</v>
      </c>
      <c r="FT9" s="280" t="s">
        <v>475</v>
      </c>
      <c r="FU9" s="280" t="s">
        <v>333</v>
      </c>
      <c r="FV9" s="357">
        <v>587229000</v>
      </c>
      <c r="FW9" s="357">
        <v>0</v>
      </c>
      <c r="FX9" s="357">
        <v>0</v>
      </c>
      <c r="FY9" s="306">
        <f t="shared" si="43"/>
        <v>587229</v>
      </c>
      <c r="FZ9" s="306">
        <f t="shared" si="44"/>
        <v>0</v>
      </c>
      <c r="GA9" s="306">
        <f t="shared" si="45"/>
        <v>0</v>
      </c>
      <c r="GD9" s="280" t="s">
        <v>860</v>
      </c>
      <c r="GE9" s="280" t="s">
        <v>51</v>
      </c>
      <c r="GF9" s="280" t="s">
        <v>429</v>
      </c>
      <c r="GG9" s="280" t="s">
        <v>429</v>
      </c>
      <c r="GH9" s="357">
        <v>5814755989</v>
      </c>
      <c r="GI9" s="357">
        <f t="shared" si="46"/>
        <v>5814755.9890000001</v>
      </c>
      <c r="GK9" s="280" t="s">
        <v>426</v>
      </c>
      <c r="GL9" s="280" t="s">
        <v>861</v>
      </c>
      <c r="GM9" s="280" t="s">
        <v>475</v>
      </c>
      <c r="GN9" s="280" t="s">
        <v>333</v>
      </c>
      <c r="GO9" s="357">
        <v>587229000</v>
      </c>
      <c r="GP9" s="357">
        <v>0</v>
      </c>
      <c r="GQ9" s="357">
        <v>0</v>
      </c>
      <c r="GR9" s="357">
        <f t="shared" si="47"/>
        <v>587229</v>
      </c>
      <c r="GS9" s="357">
        <f t="shared" si="48"/>
        <v>0</v>
      </c>
      <c r="GT9" s="357">
        <f t="shared" si="49"/>
        <v>0</v>
      </c>
      <c r="GV9" s="365" t="s">
        <v>860</v>
      </c>
      <c r="GW9" s="495" t="s">
        <v>51</v>
      </c>
      <c r="GX9" s="495" t="s">
        <v>429</v>
      </c>
      <c r="GY9" s="495" t="s">
        <v>429</v>
      </c>
      <c r="GZ9" s="366">
        <v>565224285</v>
      </c>
      <c r="HA9" s="366">
        <f t="shared" si="50"/>
        <v>565224.28500000003</v>
      </c>
      <c r="HC9" s="280" t="s">
        <v>426</v>
      </c>
      <c r="HD9" s="280" t="s">
        <v>861</v>
      </c>
      <c r="HE9" s="280" t="s">
        <v>475</v>
      </c>
      <c r="HF9" s="280" t="s">
        <v>333</v>
      </c>
      <c r="HG9" s="305">
        <v>587229000</v>
      </c>
      <c r="HH9" s="305">
        <v>0</v>
      </c>
      <c r="HI9" s="305">
        <v>0</v>
      </c>
      <c r="HJ9" s="305">
        <f t="shared" si="51"/>
        <v>587229</v>
      </c>
      <c r="HK9" s="305">
        <f t="shared" si="52"/>
        <v>0</v>
      </c>
      <c r="HL9" s="305">
        <f t="shared" si="53"/>
        <v>0</v>
      </c>
    </row>
    <row r="10" spans="1:220" ht="15" customHeight="1" x14ac:dyDescent="0.2">
      <c r="A10" s="286" t="s">
        <v>426</v>
      </c>
      <c r="B10" s="288" t="s">
        <v>861</v>
      </c>
      <c r="C10" s="286" t="s">
        <v>450</v>
      </c>
      <c r="D10" s="288" t="s">
        <v>272</v>
      </c>
      <c r="E10" s="287">
        <v>3000000</v>
      </c>
      <c r="F10" s="287">
        <v>0</v>
      </c>
      <c r="G10" s="287">
        <v>0</v>
      </c>
      <c r="H10" s="287">
        <f t="shared" si="7"/>
        <v>3126</v>
      </c>
      <c r="I10" s="287">
        <f t="shared" si="8"/>
        <v>0</v>
      </c>
      <c r="J10" s="287">
        <f t="shared" si="9"/>
        <v>0</v>
      </c>
      <c r="M10" s="392" t="s">
        <v>433</v>
      </c>
      <c r="N10" s="393" t="s">
        <v>449</v>
      </c>
      <c r="O10" s="392" t="s">
        <v>429</v>
      </c>
      <c r="P10" s="392" t="s">
        <v>429</v>
      </c>
      <c r="Q10" s="394">
        <v>149403452</v>
      </c>
      <c r="R10" s="394">
        <f t="shared" si="10"/>
        <v>155678.39698399999</v>
      </c>
      <c r="T10" s="395" t="s">
        <v>426</v>
      </c>
      <c r="U10" s="396" t="s">
        <v>861</v>
      </c>
      <c r="V10" s="395" t="s">
        <v>427</v>
      </c>
      <c r="W10" s="396" t="s">
        <v>270</v>
      </c>
      <c r="X10" s="397">
        <v>256612000</v>
      </c>
      <c r="Y10" s="397">
        <v>0</v>
      </c>
      <c r="Z10" s="397">
        <v>0</v>
      </c>
      <c r="AA10" s="358">
        <f t="shared" si="11"/>
        <v>267389.70400000003</v>
      </c>
      <c r="AB10" s="358">
        <f t="shared" si="12"/>
        <v>0</v>
      </c>
      <c r="AC10" s="358">
        <f t="shared" si="13"/>
        <v>0</v>
      </c>
      <c r="AE10" s="286" t="s">
        <v>794</v>
      </c>
      <c r="AF10" s="286" t="s">
        <v>795</v>
      </c>
      <c r="AG10" s="286" t="s">
        <v>429</v>
      </c>
      <c r="AH10" s="286" t="s">
        <v>429</v>
      </c>
      <c r="AI10" s="288" t="s">
        <v>516</v>
      </c>
      <c r="AJ10" s="287">
        <v>577091613</v>
      </c>
      <c r="AK10" s="287">
        <f t="shared" si="14"/>
        <v>577091.61300000001</v>
      </c>
      <c r="AM10" s="288" t="s">
        <v>426</v>
      </c>
      <c r="AN10" s="288" t="s">
        <v>861</v>
      </c>
      <c r="AO10" s="288" t="s">
        <v>451</v>
      </c>
      <c r="AP10" s="288" t="s">
        <v>452</v>
      </c>
      <c r="AQ10" s="288" t="s">
        <v>516</v>
      </c>
      <c r="AR10" s="398">
        <v>300000000</v>
      </c>
      <c r="AS10" s="398">
        <v>0</v>
      </c>
      <c r="AT10" s="398">
        <v>0</v>
      </c>
      <c r="AU10" s="398">
        <f t="shared" si="15"/>
        <v>300000</v>
      </c>
      <c r="AV10" s="398">
        <f t="shared" si="16"/>
        <v>0</v>
      </c>
      <c r="AW10" s="398">
        <f t="shared" si="17"/>
        <v>0</v>
      </c>
      <c r="AY10" s="365" t="s">
        <v>794</v>
      </c>
      <c r="AZ10" s="288" t="s">
        <v>795</v>
      </c>
      <c r="BA10" s="365" t="s">
        <v>429</v>
      </c>
      <c r="BB10" s="288" t="s">
        <v>429</v>
      </c>
      <c r="BC10" s="366">
        <v>1064351197</v>
      </c>
      <c r="BD10" s="366">
        <f t="shared" si="18"/>
        <v>1064351.1969999999</v>
      </c>
      <c r="BF10" s="365" t="s">
        <v>426</v>
      </c>
      <c r="BG10" s="399" t="s">
        <v>861</v>
      </c>
      <c r="BH10" s="286" t="s">
        <v>451</v>
      </c>
      <c r="BI10" s="288" t="s">
        <v>452</v>
      </c>
      <c r="BJ10" s="366">
        <v>300000000</v>
      </c>
      <c r="BK10" s="366">
        <v>0</v>
      </c>
      <c r="BL10" s="366">
        <v>0</v>
      </c>
      <c r="BM10" s="366">
        <f t="shared" si="19"/>
        <v>300000</v>
      </c>
      <c r="BN10" s="366">
        <f t="shared" si="20"/>
        <v>0</v>
      </c>
      <c r="BO10" s="366">
        <f t="shared" si="21"/>
        <v>0</v>
      </c>
      <c r="BR10" s="365" t="s">
        <v>790</v>
      </c>
      <c r="BS10" s="288" t="s">
        <v>791</v>
      </c>
      <c r="BT10" s="365" t="s">
        <v>429</v>
      </c>
      <c r="BU10" s="286" t="s">
        <v>429</v>
      </c>
      <c r="BV10" s="366">
        <v>208919281</v>
      </c>
      <c r="BW10" s="366">
        <f t="shared" si="22"/>
        <v>208919.28099999999</v>
      </c>
      <c r="BY10" s="286" t="s">
        <v>426</v>
      </c>
      <c r="BZ10" s="286" t="s">
        <v>861</v>
      </c>
      <c r="CA10" s="286" t="s">
        <v>451</v>
      </c>
      <c r="CB10" s="286" t="s">
        <v>452</v>
      </c>
      <c r="CC10" s="288" t="s">
        <v>516</v>
      </c>
      <c r="CD10" s="287">
        <v>300000000</v>
      </c>
      <c r="CE10" s="287">
        <v>0</v>
      </c>
      <c r="CF10" s="287">
        <v>0</v>
      </c>
      <c r="CG10" s="287">
        <f t="shared" si="23"/>
        <v>300000</v>
      </c>
      <c r="CH10" s="287">
        <f t="shared" si="24"/>
        <v>0</v>
      </c>
      <c r="CI10" s="287">
        <f t="shared" si="25"/>
        <v>0</v>
      </c>
      <c r="CK10" s="288" t="s">
        <v>788</v>
      </c>
      <c r="CL10" s="288" t="s">
        <v>789</v>
      </c>
      <c r="CM10" s="288" t="s">
        <v>429</v>
      </c>
      <c r="CN10" s="288" t="s">
        <v>429</v>
      </c>
      <c r="CO10" s="287">
        <v>3573297502</v>
      </c>
      <c r="CP10" s="287">
        <f t="shared" si="26"/>
        <v>3573297.5019999999</v>
      </c>
      <c r="CR10" s="288" t="s">
        <v>426</v>
      </c>
      <c r="CS10" s="288" t="s">
        <v>861</v>
      </c>
      <c r="CT10" s="288" t="s">
        <v>451</v>
      </c>
      <c r="CU10" s="288" t="s">
        <v>452</v>
      </c>
      <c r="CV10" s="287">
        <v>300000000</v>
      </c>
      <c r="CW10" s="287">
        <v>0</v>
      </c>
      <c r="CX10" s="287">
        <v>0</v>
      </c>
      <c r="CY10" s="287">
        <f t="shared" si="27"/>
        <v>300000</v>
      </c>
      <c r="CZ10" s="287">
        <f t="shared" si="28"/>
        <v>0</v>
      </c>
      <c r="DA10" s="287">
        <f t="shared" si="29"/>
        <v>0</v>
      </c>
      <c r="DC10" s="365" t="s">
        <v>790</v>
      </c>
      <c r="DD10" s="288" t="s">
        <v>791</v>
      </c>
      <c r="DE10" s="365" t="s">
        <v>429</v>
      </c>
      <c r="DF10" s="286" t="s">
        <v>429</v>
      </c>
      <c r="DG10" s="366">
        <v>1774828653</v>
      </c>
      <c r="DH10" s="366">
        <f t="shared" si="30"/>
        <v>1774828.6529999999</v>
      </c>
      <c r="DK10" s="286" t="s">
        <v>426</v>
      </c>
      <c r="DL10" s="288" t="s">
        <v>861</v>
      </c>
      <c r="DM10" s="286" t="s">
        <v>451</v>
      </c>
      <c r="DN10" s="288" t="s">
        <v>452</v>
      </c>
      <c r="DO10" s="287">
        <v>300000000</v>
      </c>
      <c r="DP10" s="287">
        <v>0</v>
      </c>
      <c r="DQ10" s="287">
        <v>0</v>
      </c>
      <c r="DR10" s="287">
        <f t="shared" si="31"/>
        <v>300000</v>
      </c>
      <c r="DS10" s="287">
        <f t="shared" si="32"/>
        <v>0</v>
      </c>
      <c r="DT10" s="287">
        <f t="shared" si="33"/>
        <v>0</v>
      </c>
      <c r="DW10" s="367" t="s">
        <v>794</v>
      </c>
      <c r="DX10" s="400" t="s">
        <v>795</v>
      </c>
      <c r="DY10" s="367" t="s">
        <v>429</v>
      </c>
      <c r="DZ10" s="401" t="s">
        <v>429</v>
      </c>
      <c r="EA10" s="366">
        <v>80472652</v>
      </c>
      <c r="EB10" s="366">
        <f t="shared" si="34"/>
        <v>80472.652000000002</v>
      </c>
      <c r="EE10" s="286" t="s">
        <v>426</v>
      </c>
      <c r="EF10" s="288" t="s">
        <v>861</v>
      </c>
      <c r="EG10" s="288" t="s">
        <v>451</v>
      </c>
      <c r="EH10" s="288" t="s">
        <v>452</v>
      </c>
      <c r="EI10" s="287">
        <v>300000000</v>
      </c>
      <c r="EJ10" s="287">
        <v>0</v>
      </c>
      <c r="EK10" s="287">
        <v>0</v>
      </c>
      <c r="EL10" s="358">
        <f t="shared" si="35"/>
        <v>300000</v>
      </c>
      <c r="EM10" s="358">
        <f t="shared" si="36"/>
        <v>0</v>
      </c>
      <c r="EN10" s="358">
        <f t="shared" si="37"/>
        <v>0</v>
      </c>
      <c r="EQ10" s="286" t="s">
        <v>798</v>
      </c>
      <c r="ER10" s="288" t="s">
        <v>799</v>
      </c>
      <c r="ES10" s="286" t="s">
        <v>429</v>
      </c>
      <c r="ET10" s="286" t="s">
        <v>429</v>
      </c>
      <c r="EU10" s="287">
        <v>115920000</v>
      </c>
      <c r="EV10" s="357">
        <f t="shared" si="38"/>
        <v>115920</v>
      </c>
      <c r="EY10" s="286" t="s">
        <v>426</v>
      </c>
      <c r="EZ10" s="288" t="s">
        <v>861</v>
      </c>
      <c r="FA10" s="288" t="s">
        <v>451</v>
      </c>
      <c r="FB10" s="288" t="s">
        <v>452</v>
      </c>
      <c r="FC10" s="287">
        <v>300000000</v>
      </c>
      <c r="FD10" s="287">
        <v>0</v>
      </c>
      <c r="FE10" s="287">
        <v>0</v>
      </c>
      <c r="FF10" s="357">
        <f t="shared" si="39"/>
        <v>300000</v>
      </c>
      <c r="FG10" s="357">
        <f t="shared" si="40"/>
        <v>0</v>
      </c>
      <c r="FH10" s="357">
        <f t="shared" si="41"/>
        <v>0</v>
      </c>
      <c r="FK10" s="280" t="s">
        <v>792</v>
      </c>
      <c r="FL10" s="280" t="s">
        <v>793</v>
      </c>
      <c r="FM10" s="280" t="s">
        <v>429</v>
      </c>
      <c r="FN10" s="280" t="s">
        <v>429</v>
      </c>
      <c r="FO10" s="357">
        <v>149600074</v>
      </c>
      <c r="FP10" s="306">
        <f t="shared" si="42"/>
        <v>149600.07399999999</v>
      </c>
      <c r="FR10" s="364" t="s">
        <v>426</v>
      </c>
      <c r="FS10" s="280" t="s">
        <v>861</v>
      </c>
      <c r="FT10" s="280" t="s">
        <v>451</v>
      </c>
      <c r="FU10" s="280" t="s">
        <v>452</v>
      </c>
      <c r="FV10" s="357">
        <v>300000000</v>
      </c>
      <c r="FW10" s="357">
        <v>0</v>
      </c>
      <c r="FX10" s="357">
        <v>0</v>
      </c>
      <c r="FY10" s="306">
        <f t="shared" si="43"/>
        <v>300000</v>
      </c>
      <c r="FZ10" s="306">
        <f t="shared" si="44"/>
        <v>0</v>
      </c>
      <c r="GA10" s="306">
        <f t="shared" si="45"/>
        <v>0</v>
      </c>
      <c r="GD10" s="280" t="s">
        <v>786</v>
      </c>
      <c r="GE10" s="280" t="s">
        <v>787</v>
      </c>
      <c r="GF10" s="280" t="s">
        <v>429</v>
      </c>
      <c r="GG10" s="280" t="s">
        <v>429</v>
      </c>
      <c r="GH10" s="357">
        <v>8242748509</v>
      </c>
      <c r="GI10" s="357">
        <f t="shared" si="46"/>
        <v>8242748.5089999996</v>
      </c>
      <c r="GK10" s="280" t="s">
        <v>426</v>
      </c>
      <c r="GL10" s="280" t="s">
        <v>861</v>
      </c>
      <c r="GM10" s="280" t="s">
        <v>451</v>
      </c>
      <c r="GN10" s="280" t="s">
        <v>452</v>
      </c>
      <c r="GO10" s="357">
        <v>300000000</v>
      </c>
      <c r="GP10" s="357">
        <v>0</v>
      </c>
      <c r="GQ10" s="357">
        <v>0</v>
      </c>
      <c r="GR10" s="357">
        <f t="shared" si="47"/>
        <v>300000</v>
      </c>
      <c r="GS10" s="357">
        <f t="shared" si="48"/>
        <v>0</v>
      </c>
      <c r="GT10" s="357">
        <f t="shared" si="49"/>
        <v>0</v>
      </c>
      <c r="GV10" s="365" t="s">
        <v>432</v>
      </c>
      <c r="GW10" s="495" t="s">
        <v>141</v>
      </c>
      <c r="GX10" s="495" t="s">
        <v>429</v>
      </c>
      <c r="GY10" s="495" t="s">
        <v>429</v>
      </c>
      <c r="GZ10" s="366">
        <v>1986270510</v>
      </c>
      <c r="HA10" s="366">
        <f t="shared" si="50"/>
        <v>1986270.51</v>
      </c>
      <c r="HC10" s="280" t="s">
        <v>426</v>
      </c>
      <c r="HD10" s="280" t="s">
        <v>861</v>
      </c>
      <c r="HE10" s="280" t="s">
        <v>451</v>
      </c>
      <c r="HF10" s="280" t="s">
        <v>452</v>
      </c>
      <c r="HG10" s="305">
        <v>204314614</v>
      </c>
      <c r="HH10" s="305">
        <v>0</v>
      </c>
      <c r="HI10" s="305">
        <v>0</v>
      </c>
      <c r="HJ10" s="305">
        <f t="shared" si="51"/>
        <v>204314.614</v>
      </c>
      <c r="HK10" s="305">
        <f t="shared" si="52"/>
        <v>0</v>
      </c>
      <c r="HL10" s="305">
        <f t="shared" si="53"/>
        <v>0</v>
      </c>
    </row>
    <row r="11" spans="1:220" ht="15" customHeight="1" x14ac:dyDescent="0.2">
      <c r="A11" s="286" t="s">
        <v>426</v>
      </c>
      <c r="B11" s="288" t="s">
        <v>861</v>
      </c>
      <c r="C11" s="286" t="s">
        <v>451</v>
      </c>
      <c r="D11" s="288" t="s">
        <v>452</v>
      </c>
      <c r="E11" s="287">
        <v>0</v>
      </c>
      <c r="F11" s="287">
        <v>103736157</v>
      </c>
      <c r="G11" s="287">
        <v>56316000</v>
      </c>
      <c r="H11" s="287">
        <f t="shared" si="7"/>
        <v>0</v>
      </c>
      <c r="I11" s="287">
        <f t="shared" si="8"/>
        <v>108093.07559400001</v>
      </c>
      <c r="J11" s="287">
        <f t="shared" si="9"/>
        <v>58681.272000000004</v>
      </c>
      <c r="R11" s="368">
        <f>SUM(R3:R10)</f>
        <v>26600532.602617998</v>
      </c>
      <c r="T11" s="395" t="s">
        <v>426</v>
      </c>
      <c r="U11" s="396" t="s">
        <v>861</v>
      </c>
      <c r="V11" s="395" t="s">
        <v>428</v>
      </c>
      <c r="W11" s="396" t="s">
        <v>313</v>
      </c>
      <c r="X11" s="397">
        <v>5000000</v>
      </c>
      <c r="Y11" s="397">
        <v>0</v>
      </c>
      <c r="Z11" s="397">
        <v>0</v>
      </c>
      <c r="AA11" s="358">
        <f t="shared" si="11"/>
        <v>5210</v>
      </c>
      <c r="AB11" s="358">
        <f t="shared" si="12"/>
        <v>0</v>
      </c>
      <c r="AC11" s="358">
        <f t="shared" si="13"/>
        <v>0</v>
      </c>
      <c r="AE11" s="286" t="s">
        <v>798</v>
      </c>
      <c r="AF11" s="286" t="s">
        <v>799</v>
      </c>
      <c r="AG11" s="286" t="s">
        <v>429</v>
      </c>
      <c r="AH11" s="286" t="s">
        <v>429</v>
      </c>
      <c r="AI11" s="288" t="s">
        <v>516</v>
      </c>
      <c r="AJ11" s="287">
        <v>88260000</v>
      </c>
      <c r="AK11" s="287">
        <f t="shared" si="14"/>
        <v>88260</v>
      </c>
      <c r="AM11" s="288" t="s">
        <v>426</v>
      </c>
      <c r="AN11" s="288" t="s">
        <v>861</v>
      </c>
      <c r="AO11" s="288" t="s">
        <v>427</v>
      </c>
      <c r="AP11" s="288" t="s">
        <v>270</v>
      </c>
      <c r="AQ11" s="288" t="s">
        <v>516</v>
      </c>
      <c r="AR11" s="398">
        <v>256612000</v>
      </c>
      <c r="AS11" s="398">
        <v>0</v>
      </c>
      <c r="AT11" s="398">
        <v>0</v>
      </c>
      <c r="AU11" s="398">
        <f t="shared" si="15"/>
        <v>256612</v>
      </c>
      <c r="AV11" s="398">
        <f t="shared" si="16"/>
        <v>0</v>
      </c>
      <c r="AW11" s="398">
        <f t="shared" si="17"/>
        <v>0</v>
      </c>
      <c r="AY11" s="365" t="s">
        <v>796</v>
      </c>
      <c r="AZ11" s="288" t="s">
        <v>797</v>
      </c>
      <c r="BA11" s="365" t="s">
        <v>429</v>
      </c>
      <c r="BB11" s="288" t="s">
        <v>429</v>
      </c>
      <c r="BC11" s="366">
        <v>406146000</v>
      </c>
      <c r="BD11" s="366">
        <f t="shared" si="18"/>
        <v>406146</v>
      </c>
      <c r="BF11" s="365" t="s">
        <v>426</v>
      </c>
      <c r="BG11" s="399" t="s">
        <v>861</v>
      </c>
      <c r="BH11" s="286" t="s">
        <v>427</v>
      </c>
      <c r="BI11" s="288" t="s">
        <v>270</v>
      </c>
      <c r="BJ11" s="366">
        <v>256612000</v>
      </c>
      <c r="BK11" s="366">
        <v>0</v>
      </c>
      <c r="BL11" s="366">
        <v>0</v>
      </c>
      <c r="BM11" s="366">
        <f t="shared" si="19"/>
        <v>256612</v>
      </c>
      <c r="BN11" s="366">
        <f t="shared" si="20"/>
        <v>0</v>
      </c>
      <c r="BO11" s="366">
        <f t="shared" si="21"/>
        <v>0</v>
      </c>
      <c r="BR11" s="365" t="s">
        <v>792</v>
      </c>
      <c r="BS11" s="288" t="s">
        <v>793</v>
      </c>
      <c r="BT11" s="365" t="s">
        <v>429</v>
      </c>
      <c r="BU11" s="286" t="s">
        <v>429</v>
      </c>
      <c r="BV11" s="366">
        <v>224888896</v>
      </c>
      <c r="BW11" s="366">
        <f t="shared" si="22"/>
        <v>224888.89600000001</v>
      </c>
      <c r="BY11" s="286" t="s">
        <v>426</v>
      </c>
      <c r="BZ11" s="286" t="s">
        <v>861</v>
      </c>
      <c r="CA11" s="286" t="s">
        <v>427</v>
      </c>
      <c r="CB11" s="286" t="s">
        <v>270</v>
      </c>
      <c r="CC11" s="288" t="s">
        <v>516</v>
      </c>
      <c r="CD11" s="287">
        <v>256612000</v>
      </c>
      <c r="CE11" s="287">
        <v>0</v>
      </c>
      <c r="CF11" s="287">
        <v>0</v>
      </c>
      <c r="CG11" s="287">
        <f t="shared" si="23"/>
        <v>256612</v>
      </c>
      <c r="CH11" s="287">
        <f t="shared" si="24"/>
        <v>0</v>
      </c>
      <c r="CI11" s="287">
        <f t="shared" si="25"/>
        <v>0</v>
      </c>
      <c r="CK11" s="288" t="s">
        <v>794</v>
      </c>
      <c r="CL11" s="288" t="s">
        <v>795</v>
      </c>
      <c r="CM11" s="288" t="s">
        <v>429</v>
      </c>
      <c r="CN11" s="288" t="s">
        <v>429</v>
      </c>
      <c r="CO11" s="287">
        <v>1200795821</v>
      </c>
      <c r="CP11" s="287">
        <f t="shared" si="26"/>
        <v>1200795.821</v>
      </c>
      <c r="CR11" s="288" t="s">
        <v>426</v>
      </c>
      <c r="CS11" s="288" t="s">
        <v>861</v>
      </c>
      <c r="CT11" s="288" t="s">
        <v>427</v>
      </c>
      <c r="CU11" s="288" t="s">
        <v>270</v>
      </c>
      <c r="CV11" s="287">
        <v>256612000</v>
      </c>
      <c r="CW11" s="287">
        <v>0</v>
      </c>
      <c r="CX11" s="287">
        <v>0</v>
      </c>
      <c r="CY11" s="287">
        <f t="shared" si="27"/>
        <v>256612</v>
      </c>
      <c r="CZ11" s="287">
        <f t="shared" si="28"/>
        <v>0</v>
      </c>
      <c r="DA11" s="287">
        <f t="shared" si="29"/>
        <v>0</v>
      </c>
      <c r="DC11" s="365" t="s">
        <v>792</v>
      </c>
      <c r="DD11" s="288" t="s">
        <v>793</v>
      </c>
      <c r="DE11" s="365" t="s">
        <v>429</v>
      </c>
      <c r="DF11" s="286" t="s">
        <v>429</v>
      </c>
      <c r="DG11" s="366">
        <v>9621299</v>
      </c>
      <c r="DH11" s="366">
        <f t="shared" si="30"/>
        <v>9621.2990000000009</v>
      </c>
      <c r="DK11" s="286" t="s">
        <v>426</v>
      </c>
      <c r="DL11" s="288" t="s">
        <v>861</v>
      </c>
      <c r="DM11" s="286" t="s">
        <v>427</v>
      </c>
      <c r="DN11" s="288" t="s">
        <v>270</v>
      </c>
      <c r="DO11" s="287">
        <v>256612000</v>
      </c>
      <c r="DP11" s="287">
        <v>0</v>
      </c>
      <c r="DQ11" s="287">
        <v>0</v>
      </c>
      <c r="DR11" s="287">
        <f t="shared" si="31"/>
        <v>256612</v>
      </c>
      <c r="DS11" s="287">
        <f t="shared" si="32"/>
        <v>0</v>
      </c>
      <c r="DT11" s="287">
        <f t="shared" si="33"/>
        <v>0</v>
      </c>
      <c r="DW11" s="367" t="s">
        <v>798</v>
      </c>
      <c r="DX11" s="400" t="s">
        <v>799</v>
      </c>
      <c r="DY11" s="367" t="s">
        <v>429</v>
      </c>
      <c r="DZ11" s="401" t="s">
        <v>429</v>
      </c>
      <c r="EA11" s="366">
        <v>588837000</v>
      </c>
      <c r="EB11" s="366">
        <f t="shared" si="34"/>
        <v>588837</v>
      </c>
      <c r="EE11" s="286" t="s">
        <v>426</v>
      </c>
      <c r="EF11" s="288" t="s">
        <v>861</v>
      </c>
      <c r="EG11" s="288" t="s">
        <v>427</v>
      </c>
      <c r="EH11" s="288" t="s">
        <v>270</v>
      </c>
      <c r="EI11" s="287">
        <v>256612000</v>
      </c>
      <c r="EJ11" s="287">
        <v>0</v>
      </c>
      <c r="EK11" s="287">
        <v>0</v>
      </c>
      <c r="EL11" s="358">
        <f t="shared" si="35"/>
        <v>256612</v>
      </c>
      <c r="EM11" s="358">
        <f t="shared" si="36"/>
        <v>0</v>
      </c>
      <c r="EN11" s="358">
        <f t="shared" si="37"/>
        <v>0</v>
      </c>
      <c r="EQ11" s="286" t="s">
        <v>802</v>
      </c>
      <c r="ER11" s="288" t="s">
        <v>803</v>
      </c>
      <c r="ES11" s="286" t="s">
        <v>429</v>
      </c>
      <c r="ET11" s="286" t="s">
        <v>429</v>
      </c>
      <c r="EU11" s="287">
        <v>1052982463</v>
      </c>
      <c r="EV11" s="357">
        <f t="shared" si="38"/>
        <v>1052982.463</v>
      </c>
      <c r="EY11" s="286" t="s">
        <v>426</v>
      </c>
      <c r="EZ11" s="288" t="s">
        <v>861</v>
      </c>
      <c r="FA11" s="288" t="s">
        <v>427</v>
      </c>
      <c r="FB11" s="288" t="s">
        <v>270</v>
      </c>
      <c r="FC11" s="287">
        <v>256612000</v>
      </c>
      <c r="FD11" s="287">
        <v>0</v>
      </c>
      <c r="FE11" s="287">
        <v>0</v>
      </c>
      <c r="FF11" s="357">
        <f t="shared" si="39"/>
        <v>256612</v>
      </c>
      <c r="FG11" s="357">
        <f t="shared" si="40"/>
        <v>0</v>
      </c>
      <c r="FH11" s="357">
        <f t="shared" si="41"/>
        <v>0</v>
      </c>
      <c r="FK11" s="280" t="s">
        <v>794</v>
      </c>
      <c r="FL11" s="280" t="s">
        <v>795</v>
      </c>
      <c r="FM11" s="280" t="s">
        <v>429</v>
      </c>
      <c r="FN11" s="280" t="s">
        <v>429</v>
      </c>
      <c r="FO11" s="357">
        <v>709783401</v>
      </c>
      <c r="FP11" s="306">
        <f t="shared" si="42"/>
        <v>709783.40099999995</v>
      </c>
      <c r="FR11" s="364" t="s">
        <v>426</v>
      </c>
      <c r="FS11" s="280" t="s">
        <v>861</v>
      </c>
      <c r="FT11" s="280" t="s">
        <v>427</v>
      </c>
      <c r="FU11" s="280" t="s">
        <v>270</v>
      </c>
      <c r="FV11" s="357">
        <v>256612000</v>
      </c>
      <c r="FW11" s="357">
        <v>0</v>
      </c>
      <c r="FX11" s="357">
        <v>0</v>
      </c>
      <c r="FY11" s="306">
        <f t="shared" si="43"/>
        <v>256612</v>
      </c>
      <c r="FZ11" s="306">
        <f t="shared" si="44"/>
        <v>0</v>
      </c>
      <c r="GA11" s="306">
        <f t="shared" si="45"/>
        <v>0</v>
      </c>
      <c r="GD11" s="280" t="s">
        <v>788</v>
      </c>
      <c r="GE11" s="280" t="s">
        <v>789</v>
      </c>
      <c r="GF11" s="280" t="s">
        <v>429</v>
      </c>
      <c r="GG11" s="280" t="s">
        <v>429</v>
      </c>
      <c r="GH11" s="357">
        <v>1036561973</v>
      </c>
      <c r="GI11" s="357">
        <f t="shared" si="46"/>
        <v>1036561.973</v>
      </c>
      <c r="GK11" s="280" t="s">
        <v>426</v>
      </c>
      <c r="GL11" s="280" t="s">
        <v>861</v>
      </c>
      <c r="GM11" s="280" t="s">
        <v>427</v>
      </c>
      <c r="GN11" s="280" t="s">
        <v>270</v>
      </c>
      <c r="GO11" s="357">
        <v>256612000</v>
      </c>
      <c r="GP11" s="357">
        <v>0</v>
      </c>
      <c r="GQ11" s="357">
        <v>0</v>
      </c>
      <c r="GR11" s="357">
        <f t="shared" si="47"/>
        <v>256612</v>
      </c>
      <c r="GS11" s="357">
        <f t="shared" si="48"/>
        <v>0</v>
      </c>
      <c r="GT11" s="357">
        <f t="shared" si="49"/>
        <v>0</v>
      </c>
      <c r="GV11" s="365" t="s">
        <v>786</v>
      </c>
      <c r="GW11" s="495" t="s">
        <v>787</v>
      </c>
      <c r="GX11" s="495" t="s">
        <v>429</v>
      </c>
      <c r="GY11" s="495" t="s">
        <v>429</v>
      </c>
      <c r="GZ11" s="366">
        <v>9757328931</v>
      </c>
      <c r="HA11" s="366">
        <f t="shared" si="50"/>
        <v>9757328.9309999999</v>
      </c>
      <c r="HC11" s="280" t="s">
        <v>426</v>
      </c>
      <c r="HD11" s="280" t="s">
        <v>861</v>
      </c>
      <c r="HE11" s="280" t="s">
        <v>427</v>
      </c>
      <c r="HF11" s="280" t="s">
        <v>270</v>
      </c>
      <c r="HG11" s="305">
        <v>185328483</v>
      </c>
      <c r="HH11" s="305">
        <v>0</v>
      </c>
      <c r="HI11" s="305">
        <v>0</v>
      </c>
      <c r="HJ11" s="305">
        <f t="shared" si="51"/>
        <v>185328.48300000001</v>
      </c>
      <c r="HK11" s="305">
        <f t="shared" si="52"/>
        <v>0</v>
      </c>
      <c r="HL11" s="305">
        <f t="shared" si="53"/>
        <v>0</v>
      </c>
    </row>
    <row r="12" spans="1:220" ht="15" customHeight="1" x14ac:dyDescent="0.2">
      <c r="A12" s="286" t="s">
        <v>426</v>
      </c>
      <c r="B12" s="288" t="s">
        <v>861</v>
      </c>
      <c r="C12" s="286" t="s">
        <v>475</v>
      </c>
      <c r="D12" s="288" t="s">
        <v>333</v>
      </c>
      <c r="E12" s="287">
        <v>0</v>
      </c>
      <c r="F12" s="287">
        <v>49027429</v>
      </c>
      <c r="G12" s="287">
        <v>49027429</v>
      </c>
      <c r="H12" s="287">
        <f t="shared" si="7"/>
        <v>0</v>
      </c>
      <c r="I12" s="287">
        <f t="shared" si="8"/>
        <v>51086.581017999997</v>
      </c>
      <c r="J12" s="287">
        <f t="shared" si="9"/>
        <v>51086.581017999997</v>
      </c>
      <c r="R12" s="369"/>
      <c r="T12" s="395" t="s">
        <v>426</v>
      </c>
      <c r="U12" s="396" t="s">
        <v>861</v>
      </c>
      <c r="V12" s="395" t="s">
        <v>450</v>
      </c>
      <c r="W12" s="396" t="s">
        <v>272</v>
      </c>
      <c r="X12" s="397">
        <v>3000000</v>
      </c>
      <c r="Y12" s="397">
        <v>0</v>
      </c>
      <c r="Z12" s="397">
        <v>0</v>
      </c>
      <c r="AA12" s="358">
        <f t="shared" si="11"/>
        <v>3126</v>
      </c>
      <c r="AB12" s="358">
        <f t="shared" si="12"/>
        <v>0</v>
      </c>
      <c r="AC12" s="358">
        <f t="shared" si="13"/>
        <v>0</v>
      </c>
      <c r="AE12" s="286" t="s">
        <v>800</v>
      </c>
      <c r="AF12" s="286" t="s">
        <v>801</v>
      </c>
      <c r="AG12" s="286" t="s">
        <v>429</v>
      </c>
      <c r="AH12" s="286" t="s">
        <v>429</v>
      </c>
      <c r="AI12" s="288" t="s">
        <v>516</v>
      </c>
      <c r="AJ12" s="287">
        <v>69020000</v>
      </c>
      <c r="AK12" s="287">
        <f t="shared" si="14"/>
        <v>69020</v>
      </c>
      <c r="AM12" s="288" t="s">
        <v>426</v>
      </c>
      <c r="AN12" s="288" t="s">
        <v>861</v>
      </c>
      <c r="AO12" s="288" t="s">
        <v>428</v>
      </c>
      <c r="AP12" s="288" t="s">
        <v>313</v>
      </c>
      <c r="AQ12" s="288" t="s">
        <v>516</v>
      </c>
      <c r="AR12" s="398">
        <v>5000000</v>
      </c>
      <c r="AS12" s="398">
        <v>0</v>
      </c>
      <c r="AT12" s="398">
        <v>0</v>
      </c>
      <c r="AU12" s="398">
        <f t="shared" si="15"/>
        <v>5000</v>
      </c>
      <c r="AV12" s="398">
        <f t="shared" si="16"/>
        <v>0</v>
      </c>
      <c r="AW12" s="398">
        <f t="shared" si="17"/>
        <v>0</v>
      </c>
      <c r="AY12" s="365" t="s">
        <v>798</v>
      </c>
      <c r="AZ12" s="288" t="s">
        <v>799</v>
      </c>
      <c r="BA12" s="365" t="s">
        <v>429</v>
      </c>
      <c r="BB12" s="288" t="s">
        <v>429</v>
      </c>
      <c r="BC12" s="366">
        <v>237956770</v>
      </c>
      <c r="BD12" s="366">
        <f t="shared" si="18"/>
        <v>237956.77</v>
      </c>
      <c r="BF12" s="365" t="s">
        <v>426</v>
      </c>
      <c r="BG12" s="399" t="s">
        <v>861</v>
      </c>
      <c r="BH12" s="286" t="s">
        <v>428</v>
      </c>
      <c r="BI12" s="288" t="s">
        <v>313</v>
      </c>
      <c r="BJ12" s="366">
        <v>5000000</v>
      </c>
      <c r="BK12" s="366">
        <v>0</v>
      </c>
      <c r="BL12" s="366">
        <v>0</v>
      </c>
      <c r="BM12" s="366">
        <f t="shared" si="19"/>
        <v>5000</v>
      </c>
      <c r="BN12" s="366">
        <f t="shared" si="20"/>
        <v>0</v>
      </c>
      <c r="BO12" s="366">
        <f t="shared" si="21"/>
        <v>0</v>
      </c>
      <c r="BR12" s="365" t="s">
        <v>794</v>
      </c>
      <c r="BS12" s="288" t="s">
        <v>795</v>
      </c>
      <c r="BT12" s="365" t="s">
        <v>429</v>
      </c>
      <c r="BU12" s="286" t="s">
        <v>429</v>
      </c>
      <c r="BV12" s="366">
        <v>1129588764</v>
      </c>
      <c r="BW12" s="366">
        <f t="shared" si="22"/>
        <v>1129588.764</v>
      </c>
      <c r="BY12" s="286" t="s">
        <v>426</v>
      </c>
      <c r="BZ12" s="286" t="s">
        <v>861</v>
      </c>
      <c r="CA12" s="286" t="s">
        <v>428</v>
      </c>
      <c r="CB12" s="286" t="s">
        <v>313</v>
      </c>
      <c r="CC12" s="288" t="s">
        <v>516</v>
      </c>
      <c r="CD12" s="287">
        <v>5000000</v>
      </c>
      <c r="CE12" s="287">
        <v>0</v>
      </c>
      <c r="CF12" s="287">
        <v>0</v>
      </c>
      <c r="CG12" s="287">
        <f t="shared" si="23"/>
        <v>5000</v>
      </c>
      <c r="CH12" s="287">
        <f t="shared" si="24"/>
        <v>0</v>
      </c>
      <c r="CI12" s="287">
        <f t="shared" si="25"/>
        <v>0</v>
      </c>
      <c r="CK12" s="288" t="s">
        <v>796</v>
      </c>
      <c r="CL12" s="288" t="s">
        <v>797</v>
      </c>
      <c r="CM12" s="288" t="s">
        <v>429</v>
      </c>
      <c r="CN12" s="288" t="s">
        <v>429</v>
      </c>
      <c r="CO12" s="287">
        <v>659886340</v>
      </c>
      <c r="CP12" s="287">
        <f t="shared" si="26"/>
        <v>659886.34</v>
      </c>
      <c r="CR12" s="288" t="s">
        <v>426</v>
      </c>
      <c r="CS12" s="288" t="s">
        <v>861</v>
      </c>
      <c r="CT12" s="288" t="s">
        <v>428</v>
      </c>
      <c r="CU12" s="288" t="s">
        <v>313</v>
      </c>
      <c r="CV12" s="287">
        <v>5000000</v>
      </c>
      <c r="CW12" s="287">
        <v>0</v>
      </c>
      <c r="CX12" s="287">
        <v>0</v>
      </c>
      <c r="CY12" s="287">
        <f t="shared" si="27"/>
        <v>5000</v>
      </c>
      <c r="CZ12" s="287">
        <f t="shared" si="28"/>
        <v>0</v>
      </c>
      <c r="DA12" s="287">
        <f t="shared" si="29"/>
        <v>0</v>
      </c>
      <c r="DC12" s="365" t="s">
        <v>794</v>
      </c>
      <c r="DD12" s="288" t="s">
        <v>795</v>
      </c>
      <c r="DE12" s="365" t="s">
        <v>429</v>
      </c>
      <c r="DF12" s="286" t="s">
        <v>429</v>
      </c>
      <c r="DG12" s="366">
        <v>271128861</v>
      </c>
      <c r="DH12" s="366">
        <f t="shared" si="30"/>
        <v>271128.86099999998</v>
      </c>
      <c r="DK12" s="286" t="s">
        <v>426</v>
      </c>
      <c r="DL12" s="288" t="s">
        <v>861</v>
      </c>
      <c r="DM12" s="286" t="s">
        <v>428</v>
      </c>
      <c r="DN12" s="288" t="s">
        <v>313</v>
      </c>
      <c r="DO12" s="287">
        <v>5000000</v>
      </c>
      <c r="DP12" s="287">
        <v>0</v>
      </c>
      <c r="DQ12" s="287">
        <v>0</v>
      </c>
      <c r="DR12" s="287">
        <f t="shared" si="31"/>
        <v>5000</v>
      </c>
      <c r="DS12" s="287">
        <f t="shared" si="32"/>
        <v>0</v>
      </c>
      <c r="DT12" s="287">
        <f t="shared" si="33"/>
        <v>0</v>
      </c>
      <c r="DW12" s="367" t="s">
        <v>800</v>
      </c>
      <c r="DX12" s="400" t="s">
        <v>801</v>
      </c>
      <c r="DY12" s="367" t="s">
        <v>429</v>
      </c>
      <c r="DZ12" s="401" t="s">
        <v>429</v>
      </c>
      <c r="EA12" s="366">
        <v>434634125</v>
      </c>
      <c r="EB12" s="366">
        <f t="shared" si="34"/>
        <v>434634.125</v>
      </c>
      <c r="EE12" s="286" t="s">
        <v>426</v>
      </c>
      <c r="EF12" s="288" t="s">
        <v>861</v>
      </c>
      <c r="EG12" s="288" t="s">
        <v>428</v>
      </c>
      <c r="EH12" s="288" t="s">
        <v>313</v>
      </c>
      <c r="EI12" s="287">
        <v>5000000</v>
      </c>
      <c r="EJ12" s="287">
        <v>0</v>
      </c>
      <c r="EK12" s="287">
        <v>0</v>
      </c>
      <c r="EL12" s="358">
        <f t="shared" si="35"/>
        <v>5000</v>
      </c>
      <c r="EM12" s="358">
        <f t="shared" si="36"/>
        <v>0</v>
      </c>
      <c r="EN12" s="358">
        <f t="shared" si="37"/>
        <v>0</v>
      </c>
      <c r="EQ12" s="286" t="s">
        <v>804</v>
      </c>
      <c r="ER12" s="288" t="s">
        <v>805</v>
      </c>
      <c r="ES12" s="286" t="s">
        <v>429</v>
      </c>
      <c r="ET12" s="286" t="s">
        <v>429</v>
      </c>
      <c r="EU12" s="287">
        <v>2799000773</v>
      </c>
      <c r="EV12" s="357">
        <f t="shared" si="38"/>
        <v>2799000.773</v>
      </c>
      <c r="EY12" s="286" t="s">
        <v>426</v>
      </c>
      <c r="EZ12" s="288" t="s">
        <v>861</v>
      </c>
      <c r="FA12" s="288" t="s">
        <v>428</v>
      </c>
      <c r="FB12" s="288" t="s">
        <v>313</v>
      </c>
      <c r="FC12" s="287">
        <v>5000000</v>
      </c>
      <c r="FD12" s="287">
        <v>0</v>
      </c>
      <c r="FE12" s="287">
        <v>0</v>
      </c>
      <c r="FF12" s="357">
        <f t="shared" si="39"/>
        <v>5000</v>
      </c>
      <c r="FG12" s="357">
        <f t="shared" si="40"/>
        <v>0</v>
      </c>
      <c r="FH12" s="357">
        <f t="shared" si="41"/>
        <v>0</v>
      </c>
      <c r="FK12" s="280" t="s">
        <v>796</v>
      </c>
      <c r="FL12" s="280" t="s">
        <v>797</v>
      </c>
      <c r="FM12" s="280" t="s">
        <v>429</v>
      </c>
      <c r="FN12" s="280" t="s">
        <v>429</v>
      </c>
      <c r="FO12" s="357">
        <v>4436946137</v>
      </c>
      <c r="FP12" s="306">
        <f t="shared" si="42"/>
        <v>4436946.1370000001</v>
      </c>
      <c r="FR12" s="364" t="s">
        <v>426</v>
      </c>
      <c r="FS12" s="280" t="s">
        <v>861</v>
      </c>
      <c r="FT12" s="280" t="s">
        <v>428</v>
      </c>
      <c r="FU12" s="280" t="s">
        <v>313</v>
      </c>
      <c r="FV12" s="357">
        <v>5000000</v>
      </c>
      <c r="FW12" s="357">
        <v>0</v>
      </c>
      <c r="FX12" s="357">
        <v>0</v>
      </c>
      <c r="FY12" s="306">
        <f t="shared" si="43"/>
        <v>5000</v>
      </c>
      <c r="FZ12" s="306">
        <f t="shared" si="44"/>
        <v>0</v>
      </c>
      <c r="GA12" s="306">
        <f t="shared" si="45"/>
        <v>0</v>
      </c>
      <c r="GD12" s="280" t="s">
        <v>790</v>
      </c>
      <c r="GE12" s="280" t="s">
        <v>791</v>
      </c>
      <c r="GF12" s="280" t="s">
        <v>429</v>
      </c>
      <c r="GG12" s="280" t="s">
        <v>429</v>
      </c>
      <c r="GH12" s="357">
        <v>47812760</v>
      </c>
      <c r="GI12" s="357">
        <f t="shared" si="46"/>
        <v>47812.76</v>
      </c>
      <c r="GK12" s="280" t="s">
        <v>426</v>
      </c>
      <c r="GL12" s="280" t="s">
        <v>861</v>
      </c>
      <c r="GM12" s="280" t="s">
        <v>428</v>
      </c>
      <c r="GN12" s="280" t="s">
        <v>313</v>
      </c>
      <c r="GO12" s="357">
        <v>5000000</v>
      </c>
      <c r="GP12" s="357">
        <v>0</v>
      </c>
      <c r="GQ12" s="357">
        <v>0</v>
      </c>
      <c r="GR12" s="357">
        <f t="shared" si="47"/>
        <v>5000</v>
      </c>
      <c r="GS12" s="357">
        <f t="shared" si="48"/>
        <v>0</v>
      </c>
      <c r="GT12" s="357">
        <f t="shared" si="49"/>
        <v>0</v>
      </c>
      <c r="GV12" s="365" t="s">
        <v>788</v>
      </c>
      <c r="GW12" s="495" t="s">
        <v>789</v>
      </c>
      <c r="GX12" s="495" t="s">
        <v>429</v>
      </c>
      <c r="GY12" s="495" t="s">
        <v>429</v>
      </c>
      <c r="GZ12" s="366">
        <v>2345140713</v>
      </c>
      <c r="HA12" s="366">
        <f t="shared" si="50"/>
        <v>2345140.713</v>
      </c>
      <c r="HC12" s="280" t="s">
        <v>426</v>
      </c>
      <c r="HD12" s="280" t="s">
        <v>861</v>
      </c>
      <c r="HE12" s="280" t="s">
        <v>450</v>
      </c>
      <c r="HF12" s="280" t="s">
        <v>272</v>
      </c>
      <c r="HG12" s="305">
        <v>4998422</v>
      </c>
      <c r="HH12" s="305">
        <v>0</v>
      </c>
      <c r="HI12" s="305">
        <v>0</v>
      </c>
      <c r="HJ12" s="305">
        <f t="shared" si="51"/>
        <v>4998.4219999999996</v>
      </c>
      <c r="HK12" s="305">
        <f t="shared" si="52"/>
        <v>0</v>
      </c>
      <c r="HL12" s="305">
        <f t="shared" si="53"/>
        <v>0</v>
      </c>
    </row>
    <row r="13" spans="1:220" ht="15" customHeight="1" x14ac:dyDescent="0.2">
      <c r="A13" s="286" t="s">
        <v>426</v>
      </c>
      <c r="B13" s="288" t="s">
        <v>861</v>
      </c>
      <c r="C13" s="286" t="s">
        <v>427</v>
      </c>
      <c r="D13" s="288" t="s">
        <v>270</v>
      </c>
      <c r="E13" s="287">
        <v>0</v>
      </c>
      <c r="F13" s="287">
        <v>152815236</v>
      </c>
      <c r="G13" s="287">
        <v>12734603</v>
      </c>
      <c r="H13" s="287">
        <f t="shared" si="7"/>
        <v>0</v>
      </c>
      <c r="I13" s="287">
        <f t="shared" si="8"/>
        <v>159233.47591200002</v>
      </c>
      <c r="J13" s="287">
        <f t="shared" si="9"/>
        <v>13269.456326</v>
      </c>
      <c r="T13" s="395" t="s">
        <v>426</v>
      </c>
      <c r="U13" s="396" t="s">
        <v>861</v>
      </c>
      <c r="V13" s="395" t="s">
        <v>427</v>
      </c>
      <c r="W13" s="396" t="s">
        <v>270</v>
      </c>
      <c r="X13" s="397">
        <v>0</v>
      </c>
      <c r="Y13" s="397">
        <v>174095236</v>
      </c>
      <c r="Z13" s="397">
        <v>25469206</v>
      </c>
      <c r="AA13" s="358">
        <f t="shared" si="11"/>
        <v>0</v>
      </c>
      <c r="AB13" s="358">
        <f t="shared" si="12"/>
        <v>181407.235912</v>
      </c>
      <c r="AC13" s="358">
        <f t="shared" si="13"/>
        <v>26538.912651999999</v>
      </c>
      <c r="AE13" s="286" t="s">
        <v>804</v>
      </c>
      <c r="AF13" s="286" t="s">
        <v>805</v>
      </c>
      <c r="AG13" s="286" t="s">
        <v>429</v>
      </c>
      <c r="AH13" s="286" t="s">
        <v>429</v>
      </c>
      <c r="AI13" s="288" t="s">
        <v>516</v>
      </c>
      <c r="AJ13" s="287">
        <v>2057958652</v>
      </c>
      <c r="AK13" s="287">
        <f t="shared" si="14"/>
        <v>2057958.652</v>
      </c>
      <c r="AM13" s="288" t="s">
        <v>426</v>
      </c>
      <c r="AN13" s="288" t="s">
        <v>861</v>
      </c>
      <c r="AO13" s="288" t="s">
        <v>450</v>
      </c>
      <c r="AP13" s="288" t="s">
        <v>272</v>
      </c>
      <c r="AQ13" s="288" t="s">
        <v>516</v>
      </c>
      <c r="AR13" s="398">
        <v>3000000</v>
      </c>
      <c r="AS13" s="398">
        <v>0</v>
      </c>
      <c r="AT13" s="398">
        <v>0</v>
      </c>
      <c r="AU13" s="398">
        <f t="shared" si="15"/>
        <v>3000</v>
      </c>
      <c r="AV13" s="398">
        <f t="shared" si="16"/>
        <v>0</v>
      </c>
      <c r="AW13" s="398">
        <f t="shared" si="17"/>
        <v>0</v>
      </c>
      <c r="AY13" s="365" t="s">
        <v>800</v>
      </c>
      <c r="AZ13" s="288" t="s">
        <v>801</v>
      </c>
      <c r="BA13" s="365" t="s">
        <v>429</v>
      </c>
      <c r="BB13" s="288" t="s">
        <v>429</v>
      </c>
      <c r="BC13" s="366">
        <v>18345625</v>
      </c>
      <c r="BD13" s="366">
        <f t="shared" si="18"/>
        <v>18345.625</v>
      </c>
      <c r="BF13" s="365" t="s">
        <v>426</v>
      </c>
      <c r="BG13" s="399" t="s">
        <v>861</v>
      </c>
      <c r="BH13" s="286" t="s">
        <v>450</v>
      </c>
      <c r="BI13" s="288" t="s">
        <v>272</v>
      </c>
      <c r="BJ13" s="366">
        <v>3000000</v>
      </c>
      <c r="BK13" s="366">
        <v>0</v>
      </c>
      <c r="BL13" s="366">
        <v>0</v>
      </c>
      <c r="BM13" s="366">
        <f t="shared" si="19"/>
        <v>3000</v>
      </c>
      <c r="BN13" s="366">
        <f t="shared" si="20"/>
        <v>0</v>
      </c>
      <c r="BO13" s="366">
        <f t="shared" si="21"/>
        <v>0</v>
      </c>
      <c r="BR13" s="365" t="s">
        <v>798</v>
      </c>
      <c r="BS13" s="288" t="s">
        <v>799</v>
      </c>
      <c r="BT13" s="365" t="s">
        <v>429</v>
      </c>
      <c r="BU13" s="286" t="s">
        <v>429</v>
      </c>
      <c r="BV13" s="366">
        <v>435985000</v>
      </c>
      <c r="BW13" s="366">
        <f t="shared" si="22"/>
        <v>435985</v>
      </c>
      <c r="BY13" s="286" t="s">
        <v>426</v>
      </c>
      <c r="BZ13" s="286" t="s">
        <v>861</v>
      </c>
      <c r="CA13" s="286" t="s">
        <v>450</v>
      </c>
      <c r="CB13" s="286" t="s">
        <v>272</v>
      </c>
      <c r="CC13" s="288" t="s">
        <v>516</v>
      </c>
      <c r="CD13" s="287">
        <v>3000000</v>
      </c>
      <c r="CE13" s="287">
        <v>0</v>
      </c>
      <c r="CF13" s="287">
        <v>0</v>
      </c>
      <c r="CG13" s="287">
        <f t="shared" si="23"/>
        <v>3000</v>
      </c>
      <c r="CH13" s="287">
        <f t="shared" si="24"/>
        <v>0</v>
      </c>
      <c r="CI13" s="287">
        <f t="shared" si="25"/>
        <v>0</v>
      </c>
      <c r="CK13" s="288" t="s">
        <v>798</v>
      </c>
      <c r="CL13" s="288" t="s">
        <v>799</v>
      </c>
      <c r="CM13" s="288" t="s">
        <v>429</v>
      </c>
      <c r="CN13" s="288" t="s">
        <v>429</v>
      </c>
      <c r="CO13" s="287">
        <v>111600000</v>
      </c>
      <c r="CP13" s="287">
        <f t="shared" si="26"/>
        <v>111600</v>
      </c>
      <c r="CR13" s="288" t="s">
        <v>426</v>
      </c>
      <c r="CS13" s="288" t="s">
        <v>861</v>
      </c>
      <c r="CT13" s="288" t="s">
        <v>450</v>
      </c>
      <c r="CU13" s="288" t="s">
        <v>272</v>
      </c>
      <c r="CV13" s="287">
        <v>3000000</v>
      </c>
      <c r="CW13" s="287">
        <v>0</v>
      </c>
      <c r="CX13" s="287">
        <v>0</v>
      </c>
      <c r="CY13" s="287">
        <f t="shared" si="27"/>
        <v>3000</v>
      </c>
      <c r="CZ13" s="287">
        <f t="shared" si="28"/>
        <v>0</v>
      </c>
      <c r="DA13" s="287">
        <f t="shared" si="29"/>
        <v>0</v>
      </c>
      <c r="DC13" s="365" t="s">
        <v>798</v>
      </c>
      <c r="DD13" s="288" t="s">
        <v>799</v>
      </c>
      <c r="DE13" s="365" t="s">
        <v>429</v>
      </c>
      <c r="DF13" s="286" t="s">
        <v>429</v>
      </c>
      <c r="DG13" s="366">
        <v>369703125</v>
      </c>
      <c r="DH13" s="366">
        <f t="shared" si="30"/>
        <v>369703.125</v>
      </c>
      <c r="DK13" s="286" t="s">
        <v>426</v>
      </c>
      <c r="DL13" s="288" t="s">
        <v>861</v>
      </c>
      <c r="DM13" s="286" t="s">
        <v>450</v>
      </c>
      <c r="DN13" s="288" t="s">
        <v>272</v>
      </c>
      <c r="DO13" s="287">
        <v>3000000</v>
      </c>
      <c r="DP13" s="287">
        <v>0</v>
      </c>
      <c r="DQ13" s="287">
        <v>0</v>
      </c>
      <c r="DR13" s="287">
        <f t="shared" si="31"/>
        <v>3000</v>
      </c>
      <c r="DS13" s="287">
        <f t="shared" si="32"/>
        <v>0</v>
      </c>
      <c r="DT13" s="287">
        <f t="shared" si="33"/>
        <v>0</v>
      </c>
      <c r="DW13" s="367" t="s">
        <v>802</v>
      </c>
      <c r="DX13" s="400" t="s">
        <v>803</v>
      </c>
      <c r="DY13" s="367" t="s">
        <v>429</v>
      </c>
      <c r="DZ13" s="401" t="s">
        <v>429</v>
      </c>
      <c r="EA13" s="366">
        <v>1188671378</v>
      </c>
      <c r="EB13" s="366">
        <f t="shared" si="34"/>
        <v>1188671.378</v>
      </c>
      <c r="EE13" s="286" t="s">
        <v>426</v>
      </c>
      <c r="EF13" s="288" t="s">
        <v>861</v>
      </c>
      <c r="EG13" s="288" t="s">
        <v>450</v>
      </c>
      <c r="EH13" s="288" t="s">
        <v>272</v>
      </c>
      <c r="EI13" s="287">
        <v>3000000</v>
      </c>
      <c r="EJ13" s="287">
        <v>0</v>
      </c>
      <c r="EK13" s="287">
        <v>0</v>
      </c>
      <c r="EL13" s="358">
        <f t="shared" si="35"/>
        <v>3000</v>
      </c>
      <c r="EM13" s="358">
        <f t="shared" si="36"/>
        <v>0</v>
      </c>
      <c r="EN13" s="358">
        <f t="shared" si="37"/>
        <v>0</v>
      </c>
      <c r="EQ13" s="286" t="s">
        <v>433</v>
      </c>
      <c r="ER13" s="288" t="s">
        <v>449</v>
      </c>
      <c r="ES13" s="286" t="s">
        <v>429</v>
      </c>
      <c r="ET13" s="286" t="s">
        <v>429</v>
      </c>
      <c r="EU13" s="287">
        <v>20291050</v>
      </c>
      <c r="EV13" s="357">
        <f t="shared" si="38"/>
        <v>20291.05</v>
      </c>
      <c r="EY13" s="286" t="s">
        <v>426</v>
      </c>
      <c r="EZ13" s="288" t="s">
        <v>861</v>
      </c>
      <c r="FA13" s="288" t="s">
        <v>450</v>
      </c>
      <c r="FB13" s="288" t="s">
        <v>272</v>
      </c>
      <c r="FC13" s="287">
        <v>3000000</v>
      </c>
      <c r="FD13" s="287">
        <v>0</v>
      </c>
      <c r="FE13" s="287">
        <v>0</v>
      </c>
      <c r="FF13" s="357">
        <f t="shared" si="39"/>
        <v>3000</v>
      </c>
      <c r="FG13" s="357">
        <f t="shared" si="40"/>
        <v>0</v>
      </c>
      <c r="FH13" s="357">
        <f t="shared" si="41"/>
        <v>0</v>
      </c>
      <c r="FK13" s="280" t="s">
        <v>798</v>
      </c>
      <c r="FL13" s="280" t="s">
        <v>799</v>
      </c>
      <c r="FM13" s="280" t="s">
        <v>429</v>
      </c>
      <c r="FN13" s="280" t="s">
        <v>429</v>
      </c>
      <c r="FO13" s="357">
        <v>399995392</v>
      </c>
      <c r="FP13" s="306">
        <f t="shared" si="42"/>
        <v>399995.39199999999</v>
      </c>
      <c r="FR13" s="364" t="s">
        <v>426</v>
      </c>
      <c r="FS13" s="280" t="s">
        <v>861</v>
      </c>
      <c r="FT13" s="280" t="s">
        <v>450</v>
      </c>
      <c r="FU13" s="280" t="s">
        <v>272</v>
      </c>
      <c r="FV13" s="357">
        <v>3000000</v>
      </c>
      <c r="FW13" s="357">
        <v>0</v>
      </c>
      <c r="FX13" s="357">
        <v>0</v>
      </c>
      <c r="FY13" s="306">
        <f t="shared" si="43"/>
        <v>3000</v>
      </c>
      <c r="FZ13" s="306">
        <f t="shared" si="44"/>
        <v>0</v>
      </c>
      <c r="GA13" s="306">
        <f t="shared" si="45"/>
        <v>0</v>
      </c>
      <c r="GD13" s="280" t="s">
        <v>792</v>
      </c>
      <c r="GE13" s="280" t="s">
        <v>793</v>
      </c>
      <c r="GF13" s="280" t="s">
        <v>429</v>
      </c>
      <c r="GG13" s="280" t="s">
        <v>429</v>
      </c>
      <c r="GH13" s="357">
        <v>64723862</v>
      </c>
      <c r="GI13" s="357">
        <f t="shared" si="46"/>
        <v>64723.862000000001</v>
      </c>
      <c r="GK13" s="280" t="s">
        <v>426</v>
      </c>
      <c r="GL13" s="280" t="s">
        <v>861</v>
      </c>
      <c r="GM13" s="280" t="s">
        <v>450</v>
      </c>
      <c r="GN13" s="280" t="s">
        <v>272</v>
      </c>
      <c r="GO13" s="357">
        <v>3000000</v>
      </c>
      <c r="GP13" s="357">
        <v>0</v>
      </c>
      <c r="GQ13" s="357">
        <v>0</v>
      </c>
      <c r="GR13" s="357">
        <f t="shared" si="47"/>
        <v>3000</v>
      </c>
      <c r="GS13" s="357">
        <f t="shared" si="48"/>
        <v>0</v>
      </c>
      <c r="GT13" s="357">
        <f t="shared" si="49"/>
        <v>0</v>
      </c>
      <c r="GV13" s="365" t="s">
        <v>794</v>
      </c>
      <c r="GW13" s="495" t="s">
        <v>795</v>
      </c>
      <c r="GX13" s="495" t="s">
        <v>429</v>
      </c>
      <c r="GY13" s="495" t="s">
        <v>429</v>
      </c>
      <c r="GZ13" s="366">
        <v>2048812546</v>
      </c>
      <c r="HA13" s="366">
        <f t="shared" si="50"/>
        <v>2048812.5460000001</v>
      </c>
      <c r="HC13" s="280" t="s">
        <v>426</v>
      </c>
      <c r="HD13" s="280" t="s">
        <v>861</v>
      </c>
      <c r="HE13" s="280" t="s">
        <v>428</v>
      </c>
      <c r="HF13" s="280" t="s">
        <v>313</v>
      </c>
      <c r="HG13" s="305">
        <v>396236</v>
      </c>
      <c r="HH13" s="305">
        <v>0</v>
      </c>
      <c r="HI13" s="305">
        <v>0</v>
      </c>
      <c r="HJ13" s="305">
        <f t="shared" si="51"/>
        <v>396.23599999999999</v>
      </c>
      <c r="HK13" s="305">
        <f t="shared" si="52"/>
        <v>0</v>
      </c>
      <c r="HL13" s="305">
        <f t="shared" si="53"/>
        <v>0</v>
      </c>
    </row>
    <row r="14" spans="1:220" ht="15" customHeight="1" x14ac:dyDescent="0.2">
      <c r="A14" s="286" t="s">
        <v>426</v>
      </c>
      <c r="B14" s="288" t="s">
        <v>861</v>
      </c>
      <c r="C14" s="286" t="s">
        <v>429</v>
      </c>
      <c r="D14" s="288" t="s">
        <v>429</v>
      </c>
      <c r="E14" s="287">
        <v>0</v>
      </c>
      <c r="F14" s="287">
        <v>0</v>
      </c>
      <c r="G14" s="287">
        <v>0</v>
      </c>
      <c r="H14" s="287">
        <f t="shared" si="7"/>
        <v>0</v>
      </c>
      <c r="I14" s="287">
        <f t="shared" si="8"/>
        <v>0</v>
      </c>
      <c r="J14" s="287">
        <f t="shared" si="9"/>
        <v>0</v>
      </c>
      <c r="T14" s="395" t="s">
        <v>426</v>
      </c>
      <c r="U14" s="396" t="s">
        <v>861</v>
      </c>
      <c r="V14" s="395" t="s">
        <v>429</v>
      </c>
      <c r="W14" s="396" t="s">
        <v>429</v>
      </c>
      <c r="X14" s="397">
        <v>0</v>
      </c>
      <c r="Y14" s="397">
        <v>0</v>
      </c>
      <c r="Z14" s="397">
        <v>0</v>
      </c>
      <c r="AA14" s="358">
        <f t="shared" si="11"/>
        <v>0</v>
      </c>
      <c r="AB14" s="358">
        <f t="shared" si="12"/>
        <v>0</v>
      </c>
      <c r="AC14" s="358">
        <f t="shared" si="13"/>
        <v>0</v>
      </c>
      <c r="AE14" s="286" t="s">
        <v>433</v>
      </c>
      <c r="AF14" s="286" t="s">
        <v>449</v>
      </c>
      <c r="AG14" s="286" t="s">
        <v>429</v>
      </c>
      <c r="AH14" s="286" t="s">
        <v>429</v>
      </c>
      <c r="AI14" s="288" t="s">
        <v>516</v>
      </c>
      <c r="AJ14" s="287">
        <v>373715655</v>
      </c>
      <c r="AK14" s="287">
        <f t="shared" si="14"/>
        <v>373715.65500000003</v>
      </c>
      <c r="AM14" s="288" t="s">
        <v>426</v>
      </c>
      <c r="AN14" s="288" t="s">
        <v>861</v>
      </c>
      <c r="AO14" s="288" t="s">
        <v>427</v>
      </c>
      <c r="AP14" s="288" t="s">
        <v>270</v>
      </c>
      <c r="AQ14" s="288" t="s">
        <v>516</v>
      </c>
      <c r="AR14" s="398">
        <v>0</v>
      </c>
      <c r="AS14" s="398">
        <v>174095236</v>
      </c>
      <c r="AT14" s="398">
        <v>38203809</v>
      </c>
      <c r="AU14" s="398">
        <f t="shared" si="15"/>
        <v>0</v>
      </c>
      <c r="AV14" s="398">
        <f t="shared" si="16"/>
        <v>174095.236</v>
      </c>
      <c r="AW14" s="398">
        <f t="shared" si="17"/>
        <v>38203.809000000001</v>
      </c>
      <c r="AY14" s="365" t="s">
        <v>804</v>
      </c>
      <c r="AZ14" s="288" t="s">
        <v>805</v>
      </c>
      <c r="BA14" s="365" t="s">
        <v>429</v>
      </c>
      <c r="BB14" s="288" t="s">
        <v>429</v>
      </c>
      <c r="BC14" s="366">
        <v>738983319</v>
      </c>
      <c r="BD14" s="366">
        <f t="shared" si="18"/>
        <v>738983.31900000002</v>
      </c>
      <c r="BF14" s="365" t="s">
        <v>426</v>
      </c>
      <c r="BG14" s="399" t="s">
        <v>861</v>
      </c>
      <c r="BH14" s="286" t="s">
        <v>427</v>
      </c>
      <c r="BI14" s="288" t="s">
        <v>270</v>
      </c>
      <c r="BJ14" s="366">
        <v>0</v>
      </c>
      <c r="BK14" s="366">
        <v>174095236</v>
      </c>
      <c r="BL14" s="366">
        <v>55418412</v>
      </c>
      <c r="BM14" s="366">
        <f t="shared" si="19"/>
        <v>0</v>
      </c>
      <c r="BN14" s="366">
        <f t="shared" si="20"/>
        <v>174095.236</v>
      </c>
      <c r="BO14" s="366">
        <f t="shared" si="21"/>
        <v>55418.411999999997</v>
      </c>
      <c r="BR14" s="365" t="s">
        <v>800</v>
      </c>
      <c r="BS14" s="288" t="s">
        <v>801</v>
      </c>
      <c r="BT14" s="365" t="s">
        <v>429</v>
      </c>
      <c r="BU14" s="286" t="s">
        <v>429</v>
      </c>
      <c r="BV14" s="366">
        <v>15232595</v>
      </c>
      <c r="BW14" s="366">
        <f t="shared" si="22"/>
        <v>15232.594999999999</v>
      </c>
      <c r="BY14" s="286" t="s">
        <v>426</v>
      </c>
      <c r="BZ14" s="286" t="s">
        <v>861</v>
      </c>
      <c r="CA14" s="286" t="s">
        <v>429</v>
      </c>
      <c r="CB14" s="286" t="s">
        <v>429</v>
      </c>
      <c r="CC14" s="288" t="s">
        <v>516</v>
      </c>
      <c r="CD14" s="287">
        <v>0</v>
      </c>
      <c r="CE14" s="287">
        <v>0</v>
      </c>
      <c r="CF14" s="287">
        <v>0</v>
      </c>
      <c r="CG14" s="287">
        <f t="shared" si="23"/>
        <v>0</v>
      </c>
      <c r="CH14" s="287">
        <f t="shared" si="24"/>
        <v>0</v>
      </c>
      <c r="CI14" s="287">
        <f t="shared" si="25"/>
        <v>0</v>
      </c>
      <c r="CK14" s="288" t="s">
        <v>800</v>
      </c>
      <c r="CL14" s="288" t="s">
        <v>801</v>
      </c>
      <c r="CM14" s="288" t="s">
        <v>429</v>
      </c>
      <c r="CN14" s="288" t="s">
        <v>429</v>
      </c>
      <c r="CO14" s="287">
        <v>301550070</v>
      </c>
      <c r="CP14" s="287">
        <f t="shared" si="26"/>
        <v>301550.07</v>
      </c>
      <c r="CR14" s="288" t="s">
        <v>426</v>
      </c>
      <c r="CS14" s="288" t="s">
        <v>861</v>
      </c>
      <c r="CT14" s="288" t="s">
        <v>475</v>
      </c>
      <c r="CU14" s="288" t="s">
        <v>333</v>
      </c>
      <c r="CV14" s="287">
        <v>0</v>
      </c>
      <c r="CW14" s="287">
        <v>49027429</v>
      </c>
      <c r="CX14" s="287">
        <v>49027429</v>
      </c>
      <c r="CY14" s="287">
        <f t="shared" si="27"/>
        <v>0</v>
      </c>
      <c r="CZ14" s="287">
        <f t="shared" si="28"/>
        <v>49027.428999999996</v>
      </c>
      <c r="DA14" s="287">
        <f t="shared" si="29"/>
        <v>49027.428999999996</v>
      </c>
      <c r="DC14" s="365" t="s">
        <v>802</v>
      </c>
      <c r="DD14" s="288" t="s">
        <v>803</v>
      </c>
      <c r="DE14" s="365" t="s">
        <v>429</v>
      </c>
      <c r="DF14" s="286" t="s">
        <v>429</v>
      </c>
      <c r="DG14" s="366">
        <v>295393109</v>
      </c>
      <c r="DH14" s="366">
        <f t="shared" si="30"/>
        <v>295393.109</v>
      </c>
      <c r="DK14" s="286" t="s">
        <v>426</v>
      </c>
      <c r="DL14" s="288" t="s">
        <v>861</v>
      </c>
      <c r="DM14" s="286" t="s">
        <v>451</v>
      </c>
      <c r="DN14" s="288" t="s">
        <v>452</v>
      </c>
      <c r="DO14" s="287">
        <v>0</v>
      </c>
      <c r="DP14" s="287">
        <v>117256745</v>
      </c>
      <c r="DQ14" s="287">
        <v>83994034</v>
      </c>
      <c r="DR14" s="287">
        <f t="shared" si="31"/>
        <v>0</v>
      </c>
      <c r="DS14" s="287">
        <f t="shared" si="32"/>
        <v>117256.745</v>
      </c>
      <c r="DT14" s="287">
        <f t="shared" si="33"/>
        <v>83994.034</v>
      </c>
      <c r="DW14" s="367" t="s">
        <v>804</v>
      </c>
      <c r="DX14" s="400" t="s">
        <v>805</v>
      </c>
      <c r="DY14" s="367" t="s">
        <v>429</v>
      </c>
      <c r="DZ14" s="401" t="s">
        <v>429</v>
      </c>
      <c r="EA14" s="366">
        <v>3675204111</v>
      </c>
      <c r="EB14" s="366">
        <f t="shared" si="34"/>
        <v>3675204.111</v>
      </c>
      <c r="EE14" s="286" t="s">
        <v>426</v>
      </c>
      <c r="EF14" s="288" t="s">
        <v>861</v>
      </c>
      <c r="EG14" s="288" t="s">
        <v>429</v>
      </c>
      <c r="EH14" s="288" t="s">
        <v>429</v>
      </c>
      <c r="EI14" s="287">
        <v>0</v>
      </c>
      <c r="EJ14" s="287">
        <v>0</v>
      </c>
      <c r="EK14" s="287">
        <v>0</v>
      </c>
      <c r="EL14" s="358">
        <f t="shared" si="35"/>
        <v>0</v>
      </c>
      <c r="EM14" s="358">
        <f t="shared" si="36"/>
        <v>0</v>
      </c>
      <c r="EN14" s="358">
        <f t="shared" si="37"/>
        <v>0</v>
      </c>
      <c r="EV14" s="357">
        <f>SUM(EV3:EV13)</f>
        <v>16962563.367000002</v>
      </c>
      <c r="EY14" s="286" t="s">
        <v>426</v>
      </c>
      <c r="EZ14" s="288" t="s">
        <v>861</v>
      </c>
      <c r="FA14" s="288" t="s">
        <v>427</v>
      </c>
      <c r="FB14" s="288" t="s">
        <v>270</v>
      </c>
      <c r="FC14" s="287">
        <v>0</v>
      </c>
      <c r="FD14" s="287">
        <v>134496621</v>
      </c>
      <c r="FE14" s="287">
        <v>175268483</v>
      </c>
      <c r="FF14" s="357">
        <f t="shared" si="39"/>
        <v>0</v>
      </c>
      <c r="FG14" s="357">
        <f t="shared" si="40"/>
        <v>134496.62100000001</v>
      </c>
      <c r="FH14" s="357">
        <f t="shared" si="41"/>
        <v>175268.48300000001</v>
      </c>
      <c r="FK14" s="280" t="s">
        <v>800</v>
      </c>
      <c r="FL14" s="280" t="s">
        <v>801</v>
      </c>
      <c r="FM14" s="280" t="s">
        <v>429</v>
      </c>
      <c r="FN14" s="280" t="s">
        <v>429</v>
      </c>
      <c r="FO14" s="357">
        <v>177916500</v>
      </c>
      <c r="FP14" s="306">
        <f t="shared" si="42"/>
        <v>177916.5</v>
      </c>
      <c r="FR14" s="364" t="s">
        <v>426</v>
      </c>
      <c r="FS14" s="280" t="s">
        <v>861</v>
      </c>
      <c r="FT14" s="280" t="s">
        <v>427</v>
      </c>
      <c r="FU14" s="280" t="s">
        <v>270</v>
      </c>
      <c r="FV14" s="357">
        <v>0</v>
      </c>
      <c r="FW14" s="357">
        <v>184928483</v>
      </c>
      <c r="FX14" s="357">
        <v>151326932</v>
      </c>
      <c r="FY14" s="306">
        <f t="shared" si="43"/>
        <v>0</v>
      </c>
      <c r="FZ14" s="306">
        <f t="shared" si="44"/>
        <v>184928.48300000001</v>
      </c>
      <c r="GA14" s="306">
        <f t="shared" si="45"/>
        <v>151326.932</v>
      </c>
      <c r="GD14" s="280" t="s">
        <v>794</v>
      </c>
      <c r="GE14" s="280" t="s">
        <v>795</v>
      </c>
      <c r="GF14" s="280" t="s">
        <v>429</v>
      </c>
      <c r="GG14" s="280" t="s">
        <v>429</v>
      </c>
      <c r="GH14" s="357">
        <v>188559037</v>
      </c>
      <c r="GI14" s="357">
        <f t="shared" si="46"/>
        <v>188559.03700000001</v>
      </c>
      <c r="GK14" s="280" t="s">
        <v>426</v>
      </c>
      <c r="GL14" s="280" t="s">
        <v>861</v>
      </c>
      <c r="GM14" s="280" t="s">
        <v>428</v>
      </c>
      <c r="GN14" s="280" t="s">
        <v>313</v>
      </c>
      <c r="GO14" s="357">
        <v>0</v>
      </c>
      <c r="GP14" s="357">
        <v>450000</v>
      </c>
      <c r="GQ14" s="357">
        <v>337775</v>
      </c>
      <c r="GR14" s="357">
        <f t="shared" si="47"/>
        <v>0</v>
      </c>
      <c r="GS14" s="357">
        <f t="shared" si="48"/>
        <v>450</v>
      </c>
      <c r="GT14" s="357">
        <f t="shared" si="49"/>
        <v>337.77499999999998</v>
      </c>
      <c r="GV14" s="365" t="s">
        <v>798</v>
      </c>
      <c r="GW14" s="495" t="s">
        <v>799</v>
      </c>
      <c r="GX14" s="495" t="s">
        <v>429</v>
      </c>
      <c r="GY14" s="495" t="s">
        <v>429</v>
      </c>
      <c r="GZ14" s="366">
        <v>468584006</v>
      </c>
      <c r="HA14" s="366">
        <f t="shared" si="50"/>
        <v>468584.00599999999</v>
      </c>
      <c r="HC14" s="280" t="s">
        <v>426</v>
      </c>
      <c r="HD14" s="280" t="s">
        <v>861</v>
      </c>
      <c r="HE14" s="280" t="s">
        <v>428</v>
      </c>
      <c r="HF14" s="280" t="s">
        <v>313</v>
      </c>
      <c r="HG14" s="305">
        <v>0</v>
      </c>
      <c r="HH14" s="305">
        <v>337775</v>
      </c>
      <c r="HI14" s="305">
        <v>337775</v>
      </c>
      <c r="HJ14" s="305">
        <f t="shared" si="51"/>
        <v>0</v>
      </c>
      <c r="HK14" s="305">
        <f t="shared" si="52"/>
        <v>337.77499999999998</v>
      </c>
      <c r="HL14" s="305">
        <f t="shared" si="53"/>
        <v>337.77499999999998</v>
      </c>
    </row>
    <row r="15" spans="1:220" ht="15" customHeight="1" x14ac:dyDescent="0.2">
      <c r="A15" s="286" t="s">
        <v>896</v>
      </c>
      <c r="B15" s="288" t="s">
        <v>897</v>
      </c>
      <c r="C15" s="286" t="s">
        <v>429</v>
      </c>
      <c r="D15" s="288" t="s">
        <v>429</v>
      </c>
      <c r="E15" s="287">
        <v>464198000</v>
      </c>
      <c r="F15" s="287">
        <v>0</v>
      </c>
      <c r="G15" s="287">
        <v>0</v>
      </c>
      <c r="H15" s="287">
        <f t="shared" si="7"/>
        <v>483694.31599999999</v>
      </c>
      <c r="I15" s="287">
        <f t="shared" si="8"/>
        <v>0</v>
      </c>
      <c r="J15" s="287">
        <f t="shared" si="9"/>
        <v>0</v>
      </c>
      <c r="T15" s="395" t="s">
        <v>426</v>
      </c>
      <c r="U15" s="396" t="s">
        <v>861</v>
      </c>
      <c r="V15" s="395" t="s">
        <v>475</v>
      </c>
      <c r="W15" s="396" t="s">
        <v>333</v>
      </c>
      <c r="X15" s="397">
        <v>0</v>
      </c>
      <c r="Y15" s="397">
        <v>49027429</v>
      </c>
      <c r="Z15" s="397">
        <v>49027429</v>
      </c>
      <c r="AA15" s="358">
        <f t="shared" si="11"/>
        <v>0</v>
      </c>
      <c r="AB15" s="358">
        <f t="shared" si="12"/>
        <v>51086.581017999997</v>
      </c>
      <c r="AC15" s="358">
        <f t="shared" si="13"/>
        <v>51086.581017999997</v>
      </c>
      <c r="AK15" s="368">
        <f>SUM(AK3:AK14)</f>
        <v>40646723.973000005</v>
      </c>
      <c r="AM15" s="288" t="s">
        <v>426</v>
      </c>
      <c r="AN15" s="288" t="s">
        <v>861</v>
      </c>
      <c r="AO15" s="288" t="s">
        <v>429</v>
      </c>
      <c r="AP15" s="288" t="s">
        <v>429</v>
      </c>
      <c r="AQ15" s="288" t="s">
        <v>516</v>
      </c>
      <c r="AR15" s="398">
        <v>0</v>
      </c>
      <c r="AS15" s="398">
        <v>0</v>
      </c>
      <c r="AT15" s="398">
        <v>0</v>
      </c>
      <c r="AU15" s="398">
        <f t="shared" si="15"/>
        <v>0</v>
      </c>
      <c r="AV15" s="398">
        <f t="shared" si="16"/>
        <v>0</v>
      </c>
      <c r="AW15" s="398">
        <f t="shared" si="17"/>
        <v>0</v>
      </c>
      <c r="AY15" s="365" t="s">
        <v>433</v>
      </c>
      <c r="AZ15" s="288" t="s">
        <v>449</v>
      </c>
      <c r="BA15" s="365" t="s">
        <v>429</v>
      </c>
      <c r="BB15" s="288" t="s">
        <v>429</v>
      </c>
      <c r="BC15" s="366">
        <v>1111984031</v>
      </c>
      <c r="BD15" s="366">
        <f t="shared" si="18"/>
        <v>1111984.031</v>
      </c>
      <c r="BF15" s="365" t="s">
        <v>426</v>
      </c>
      <c r="BG15" s="399" t="s">
        <v>861</v>
      </c>
      <c r="BH15" s="286" t="s">
        <v>429</v>
      </c>
      <c r="BI15" s="288" t="s">
        <v>429</v>
      </c>
      <c r="BJ15" s="366">
        <v>0</v>
      </c>
      <c r="BK15" s="366">
        <v>0</v>
      </c>
      <c r="BL15" s="366">
        <v>0</v>
      </c>
      <c r="BM15" s="366">
        <f t="shared" si="19"/>
        <v>0</v>
      </c>
      <c r="BN15" s="366">
        <f t="shared" si="20"/>
        <v>0</v>
      </c>
      <c r="BO15" s="366">
        <f t="shared" si="21"/>
        <v>0</v>
      </c>
      <c r="BR15" s="365" t="s">
        <v>802</v>
      </c>
      <c r="BS15" s="288" t="s">
        <v>803</v>
      </c>
      <c r="BT15" s="365" t="s">
        <v>429</v>
      </c>
      <c r="BU15" s="286" t="s">
        <v>429</v>
      </c>
      <c r="BV15" s="366">
        <v>292620000</v>
      </c>
      <c r="BW15" s="366">
        <f t="shared" si="22"/>
        <v>292620</v>
      </c>
      <c r="BY15" s="286" t="s">
        <v>426</v>
      </c>
      <c r="BZ15" s="286" t="s">
        <v>861</v>
      </c>
      <c r="CA15" s="286" t="s">
        <v>475</v>
      </c>
      <c r="CB15" s="286" t="s">
        <v>333</v>
      </c>
      <c r="CC15" s="288" t="s">
        <v>516</v>
      </c>
      <c r="CD15" s="287">
        <v>0</v>
      </c>
      <c r="CE15" s="287">
        <v>49027429</v>
      </c>
      <c r="CF15" s="287">
        <v>49027429</v>
      </c>
      <c r="CG15" s="287">
        <f t="shared" si="23"/>
        <v>0</v>
      </c>
      <c r="CH15" s="287">
        <f t="shared" si="24"/>
        <v>49027.428999999996</v>
      </c>
      <c r="CI15" s="287">
        <f t="shared" si="25"/>
        <v>49027.428999999996</v>
      </c>
      <c r="CK15" s="288" t="s">
        <v>802</v>
      </c>
      <c r="CL15" s="288" t="s">
        <v>803</v>
      </c>
      <c r="CM15" s="288" t="s">
        <v>429</v>
      </c>
      <c r="CN15" s="288" t="s">
        <v>429</v>
      </c>
      <c r="CO15" s="287">
        <v>90000000</v>
      </c>
      <c r="CP15" s="287">
        <f t="shared" si="26"/>
        <v>90000</v>
      </c>
      <c r="CR15" s="288" t="s">
        <v>426</v>
      </c>
      <c r="CS15" s="288" t="s">
        <v>861</v>
      </c>
      <c r="CT15" s="288" t="s">
        <v>450</v>
      </c>
      <c r="CU15" s="288" t="s">
        <v>272</v>
      </c>
      <c r="CV15" s="287">
        <v>0</v>
      </c>
      <c r="CW15" s="287">
        <v>490000</v>
      </c>
      <c r="CX15" s="287">
        <v>490000</v>
      </c>
      <c r="CY15" s="287">
        <f t="shared" si="27"/>
        <v>0</v>
      </c>
      <c r="CZ15" s="287">
        <f t="shared" si="28"/>
        <v>490</v>
      </c>
      <c r="DA15" s="287">
        <f t="shared" si="29"/>
        <v>490</v>
      </c>
      <c r="DC15" s="365" t="s">
        <v>804</v>
      </c>
      <c r="DD15" s="288" t="s">
        <v>805</v>
      </c>
      <c r="DE15" s="365" t="s">
        <v>429</v>
      </c>
      <c r="DF15" s="286" t="s">
        <v>429</v>
      </c>
      <c r="DG15" s="366">
        <v>1926823288</v>
      </c>
      <c r="DH15" s="366">
        <f t="shared" si="30"/>
        <v>1926823.2879999999</v>
      </c>
      <c r="DK15" s="286" t="s">
        <v>426</v>
      </c>
      <c r="DL15" s="288" t="s">
        <v>861</v>
      </c>
      <c r="DM15" s="286" t="s">
        <v>428</v>
      </c>
      <c r="DN15" s="288" t="s">
        <v>313</v>
      </c>
      <c r="DO15" s="287">
        <v>0</v>
      </c>
      <c r="DP15" s="287">
        <v>300000</v>
      </c>
      <c r="DQ15" s="287">
        <v>139289</v>
      </c>
      <c r="DR15" s="287">
        <f t="shared" si="31"/>
        <v>0</v>
      </c>
      <c r="DS15" s="287">
        <f t="shared" si="32"/>
        <v>300</v>
      </c>
      <c r="DT15" s="287">
        <f t="shared" si="33"/>
        <v>139.28899999999999</v>
      </c>
      <c r="DW15" s="367" t="s">
        <v>433</v>
      </c>
      <c r="DX15" s="400" t="s">
        <v>449</v>
      </c>
      <c r="DY15" s="367" t="s">
        <v>429</v>
      </c>
      <c r="DZ15" s="401" t="s">
        <v>429</v>
      </c>
      <c r="EA15" s="366">
        <v>1277566948</v>
      </c>
      <c r="EB15" s="366">
        <f t="shared" si="34"/>
        <v>1277566.9480000001</v>
      </c>
      <c r="EE15" s="286" t="s">
        <v>426</v>
      </c>
      <c r="EF15" s="288" t="s">
        <v>861</v>
      </c>
      <c r="EG15" s="288" t="s">
        <v>453</v>
      </c>
      <c r="EH15" s="288" t="s">
        <v>269</v>
      </c>
      <c r="EI15" s="287">
        <v>0</v>
      </c>
      <c r="EJ15" s="287">
        <v>2299513695</v>
      </c>
      <c r="EK15" s="287">
        <v>2110177755</v>
      </c>
      <c r="EL15" s="358">
        <f t="shared" si="35"/>
        <v>0</v>
      </c>
      <c r="EM15" s="358">
        <f t="shared" si="36"/>
        <v>2299513.6949999998</v>
      </c>
      <c r="EN15" s="358">
        <f t="shared" si="37"/>
        <v>2110177.7549999999</v>
      </c>
      <c r="EV15" s="357"/>
      <c r="EY15" s="286" t="s">
        <v>426</v>
      </c>
      <c r="EZ15" s="288" t="s">
        <v>861</v>
      </c>
      <c r="FA15" s="288" t="s">
        <v>451</v>
      </c>
      <c r="FB15" s="288" t="s">
        <v>452</v>
      </c>
      <c r="FC15" s="287">
        <v>0</v>
      </c>
      <c r="FD15" s="287">
        <v>87042926</v>
      </c>
      <c r="FE15" s="287">
        <v>117256745</v>
      </c>
      <c r="FF15" s="357">
        <f t="shared" si="39"/>
        <v>0</v>
      </c>
      <c r="FG15" s="357">
        <f t="shared" si="40"/>
        <v>87042.926000000007</v>
      </c>
      <c r="FH15" s="357">
        <f t="shared" si="41"/>
        <v>117256.745</v>
      </c>
      <c r="FK15" s="280" t="s">
        <v>802</v>
      </c>
      <c r="FL15" s="280" t="s">
        <v>803</v>
      </c>
      <c r="FM15" s="280" t="s">
        <v>429</v>
      </c>
      <c r="FN15" s="280" t="s">
        <v>429</v>
      </c>
      <c r="FO15" s="357">
        <v>2615284115</v>
      </c>
      <c r="FP15" s="306">
        <f t="shared" si="42"/>
        <v>2615284.1150000002</v>
      </c>
      <c r="FR15" s="364" t="s">
        <v>426</v>
      </c>
      <c r="FS15" s="280" t="s">
        <v>861</v>
      </c>
      <c r="FT15" s="280" t="s">
        <v>450</v>
      </c>
      <c r="FU15" s="280" t="s">
        <v>272</v>
      </c>
      <c r="FV15" s="357">
        <v>0</v>
      </c>
      <c r="FW15" s="357">
        <v>1796501</v>
      </c>
      <c r="FX15" s="357">
        <v>490000</v>
      </c>
      <c r="FY15" s="306">
        <f t="shared" si="43"/>
        <v>0</v>
      </c>
      <c r="FZ15" s="306">
        <f t="shared" si="44"/>
        <v>1796.501</v>
      </c>
      <c r="GA15" s="306">
        <f t="shared" si="45"/>
        <v>490</v>
      </c>
      <c r="GD15" s="280" t="s">
        <v>796</v>
      </c>
      <c r="GE15" s="280" t="s">
        <v>797</v>
      </c>
      <c r="GF15" s="280" t="s">
        <v>429</v>
      </c>
      <c r="GG15" s="280" t="s">
        <v>429</v>
      </c>
      <c r="GH15" s="357">
        <v>523219800</v>
      </c>
      <c r="GI15" s="357">
        <f t="shared" si="46"/>
        <v>523219.8</v>
      </c>
      <c r="GK15" s="280" t="s">
        <v>426</v>
      </c>
      <c r="GL15" s="280" t="s">
        <v>861</v>
      </c>
      <c r="GM15" s="280" t="s">
        <v>475</v>
      </c>
      <c r="GN15" s="280" t="s">
        <v>333</v>
      </c>
      <c r="GO15" s="357">
        <v>0</v>
      </c>
      <c r="GP15" s="357">
        <v>49027429</v>
      </c>
      <c r="GQ15" s="357">
        <v>49027429</v>
      </c>
      <c r="GR15" s="357">
        <f t="shared" si="47"/>
        <v>0</v>
      </c>
      <c r="GS15" s="357">
        <f t="shared" si="48"/>
        <v>49027.428999999996</v>
      </c>
      <c r="GT15" s="357">
        <f t="shared" si="49"/>
        <v>49027.428999999996</v>
      </c>
      <c r="GV15" s="365" t="s">
        <v>800</v>
      </c>
      <c r="GW15" s="495" t="s">
        <v>801</v>
      </c>
      <c r="GX15" s="495" t="s">
        <v>429</v>
      </c>
      <c r="GY15" s="495" t="s">
        <v>429</v>
      </c>
      <c r="GZ15" s="366">
        <v>1694736750</v>
      </c>
      <c r="HA15" s="366">
        <f t="shared" si="50"/>
        <v>1694736.75</v>
      </c>
      <c r="HC15" s="280" t="s">
        <v>426</v>
      </c>
      <c r="HD15" s="280" t="s">
        <v>861</v>
      </c>
      <c r="HE15" s="280" t="s">
        <v>450</v>
      </c>
      <c r="HF15" s="280" t="s">
        <v>272</v>
      </c>
      <c r="HG15" s="305">
        <v>0</v>
      </c>
      <c r="HH15" s="305">
        <v>4947502</v>
      </c>
      <c r="HI15" s="305">
        <v>4947502</v>
      </c>
      <c r="HJ15" s="305">
        <f t="shared" si="51"/>
        <v>0</v>
      </c>
      <c r="HK15" s="305">
        <f t="shared" si="52"/>
        <v>4947.5020000000004</v>
      </c>
      <c r="HL15" s="305">
        <f t="shared" si="53"/>
        <v>4947.5020000000004</v>
      </c>
    </row>
    <row r="16" spans="1:220" ht="15" customHeight="1" x14ac:dyDescent="0.2">
      <c r="A16" s="286" t="s">
        <v>860</v>
      </c>
      <c r="B16" s="288" t="s">
        <v>51</v>
      </c>
      <c r="C16" s="286" t="s">
        <v>429</v>
      </c>
      <c r="D16" s="288" t="s">
        <v>429</v>
      </c>
      <c r="E16" s="287">
        <v>10000</v>
      </c>
      <c r="F16" s="287">
        <v>0</v>
      </c>
      <c r="G16" s="287">
        <v>0</v>
      </c>
      <c r="H16" s="287">
        <f t="shared" si="7"/>
        <v>10.42</v>
      </c>
      <c r="I16" s="287">
        <f t="shared" si="8"/>
        <v>0</v>
      </c>
      <c r="J16" s="287">
        <f t="shared" si="9"/>
        <v>0</v>
      </c>
      <c r="T16" s="395" t="s">
        <v>426</v>
      </c>
      <c r="U16" s="396" t="s">
        <v>861</v>
      </c>
      <c r="V16" s="395" t="s">
        <v>453</v>
      </c>
      <c r="W16" s="396" t="s">
        <v>269</v>
      </c>
      <c r="X16" s="397">
        <v>0</v>
      </c>
      <c r="Y16" s="397">
        <v>28900000</v>
      </c>
      <c r="Z16" s="397">
        <v>8900000</v>
      </c>
      <c r="AA16" s="358">
        <f t="shared" si="11"/>
        <v>0</v>
      </c>
      <c r="AB16" s="358">
        <f t="shared" si="12"/>
        <v>30113.8</v>
      </c>
      <c r="AC16" s="358">
        <f t="shared" si="13"/>
        <v>9273.8000000000011</v>
      </c>
      <c r="AM16" s="288" t="s">
        <v>426</v>
      </c>
      <c r="AN16" s="288" t="s">
        <v>861</v>
      </c>
      <c r="AO16" s="288" t="s">
        <v>453</v>
      </c>
      <c r="AP16" s="288" t="s">
        <v>269</v>
      </c>
      <c r="AQ16" s="288" t="s">
        <v>516</v>
      </c>
      <c r="AR16" s="398">
        <v>0</v>
      </c>
      <c r="AS16" s="398">
        <v>123757000</v>
      </c>
      <c r="AT16" s="398">
        <v>39757000</v>
      </c>
      <c r="AU16" s="398">
        <f t="shared" si="15"/>
        <v>0</v>
      </c>
      <c r="AV16" s="398">
        <f t="shared" si="16"/>
        <v>123757</v>
      </c>
      <c r="AW16" s="398">
        <f t="shared" si="17"/>
        <v>39757</v>
      </c>
      <c r="BF16" s="365" t="s">
        <v>426</v>
      </c>
      <c r="BG16" s="399" t="s">
        <v>861</v>
      </c>
      <c r="BH16" s="286" t="s">
        <v>453</v>
      </c>
      <c r="BI16" s="288" t="s">
        <v>269</v>
      </c>
      <c r="BJ16" s="366">
        <v>0</v>
      </c>
      <c r="BK16" s="366">
        <v>123757000</v>
      </c>
      <c r="BL16" s="366">
        <v>123757000</v>
      </c>
      <c r="BM16" s="366">
        <f t="shared" si="19"/>
        <v>0</v>
      </c>
      <c r="BN16" s="366">
        <f t="shared" si="20"/>
        <v>123757</v>
      </c>
      <c r="BO16" s="366">
        <f t="shared" si="21"/>
        <v>123757</v>
      </c>
      <c r="BR16" s="365" t="s">
        <v>804</v>
      </c>
      <c r="BS16" s="288" t="s">
        <v>805</v>
      </c>
      <c r="BT16" s="365" t="s">
        <v>429</v>
      </c>
      <c r="BU16" s="286" t="s">
        <v>429</v>
      </c>
      <c r="BV16" s="366">
        <v>1862357613</v>
      </c>
      <c r="BW16" s="366">
        <f t="shared" si="22"/>
        <v>1862357.6129999999</v>
      </c>
      <c r="BY16" s="286" t="s">
        <v>426</v>
      </c>
      <c r="BZ16" s="286" t="s">
        <v>861</v>
      </c>
      <c r="CA16" s="286" t="s">
        <v>427</v>
      </c>
      <c r="CB16" s="286" t="s">
        <v>270</v>
      </c>
      <c r="CC16" s="288" t="s">
        <v>516</v>
      </c>
      <c r="CD16" s="287">
        <v>0</v>
      </c>
      <c r="CE16" s="287">
        <v>174095236</v>
      </c>
      <c r="CF16" s="287">
        <v>70253015</v>
      </c>
      <c r="CG16" s="287">
        <f t="shared" si="23"/>
        <v>0</v>
      </c>
      <c r="CH16" s="287">
        <f t="shared" si="24"/>
        <v>174095.236</v>
      </c>
      <c r="CI16" s="287">
        <f t="shared" si="25"/>
        <v>70253.014999999999</v>
      </c>
      <c r="CK16" s="288" t="s">
        <v>804</v>
      </c>
      <c r="CL16" s="288" t="s">
        <v>805</v>
      </c>
      <c r="CM16" s="288" t="s">
        <v>429</v>
      </c>
      <c r="CN16" s="288" t="s">
        <v>429</v>
      </c>
      <c r="CO16" s="287">
        <v>1024407730</v>
      </c>
      <c r="CP16" s="287">
        <f t="shared" si="26"/>
        <v>1024407.73</v>
      </c>
      <c r="CR16" s="288" t="s">
        <v>426</v>
      </c>
      <c r="CS16" s="288" t="s">
        <v>861</v>
      </c>
      <c r="CT16" s="288" t="s">
        <v>428</v>
      </c>
      <c r="CU16" s="288" t="s">
        <v>313</v>
      </c>
      <c r="CV16" s="287">
        <v>0</v>
      </c>
      <c r="CW16" s="287">
        <v>300000</v>
      </c>
      <c r="CX16" s="287">
        <v>139289</v>
      </c>
      <c r="CY16" s="287">
        <f t="shared" si="27"/>
        <v>0</v>
      </c>
      <c r="CZ16" s="287">
        <f t="shared" si="28"/>
        <v>300</v>
      </c>
      <c r="DA16" s="287">
        <f t="shared" si="29"/>
        <v>139.28899999999999</v>
      </c>
      <c r="DC16" s="365" t="s">
        <v>806</v>
      </c>
      <c r="DD16" s="288" t="s">
        <v>807</v>
      </c>
      <c r="DE16" s="365" t="s">
        <v>429</v>
      </c>
      <c r="DF16" s="286" t="s">
        <v>429</v>
      </c>
      <c r="DG16" s="366">
        <v>42488206</v>
      </c>
      <c r="DH16" s="366">
        <f t="shared" si="30"/>
        <v>42488.205999999998</v>
      </c>
      <c r="DK16" s="286" t="s">
        <v>426</v>
      </c>
      <c r="DL16" s="288" t="s">
        <v>861</v>
      </c>
      <c r="DM16" s="286" t="s">
        <v>475</v>
      </c>
      <c r="DN16" s="288" t="s">
        <v>333</v>
      </c>
      <c r="DO16" s="287">
        <v>0</v>
      </c>
      <c r="DP16" s="287">
        <v>49027429</v>
      </c>
      <c r="DQ16" s="287">
        <v>49027429</v>
      </c>
      <c r="DR16" s="287">
        <f t="shared" si="31"/>
        <v>0</v>
      </c>
      <c r="DS16" s="287">
        <f t="shared" si="32"/>
        <v>49027.428999999996</v>
      </c>
      <c r="DT16" s="287">
        <f t="shared" si="33"/>
        <v>49027.428999999996</v>
      </c>
      <c r="DW16" s="367" t="s">
        <v>847</v>
      </c>
      <c r="DX16" s="400" t="s">
        <v>848</v>
      </c>
      <c r="DY16" s="367" t="s">
        <v>429</v>
      </c>
      <c r="DZ16" s="401" t="s">
        <v>429</v>
      </c>
      <c r="EA16" s="366">
        <v>1241984000</v>
      </c>
      <c r="EB16" s="366">
        <f t="shared" si="34"/>
        <v>1241984</v>
      </c>
      <c r="EE16" s="286" t="s">
        <v>426</v>
      </c>
      <c r="EF16" s="288" t="s">
        <v>861</v>
      </c>
      <c r="EG16" s="288" t="s">
        <v>450</v>
      </c>
      <c r="EH16" s="288" t="s">
        <v>272</v>
      </c>
      <c r="EI16" s="287">
        <v>0</v>
      </c>
      <c r="EJ16" s="287">
        <v>490000</v>
      </c>
      <c r="EK16" s="287">
        <v>490000</v>
      </c>
      <c r="EL16" s="358">
        <f t="shared" si="35"/>
        <v>0</v>
      </c>
      <c r="EM16" s="358">
        <f t="shared" si="36"/>
        <v>490</v>
      </c>
      <c r="EN16" s="358">
        <f t="shared" si="37"/>
        <v>490</v>
      </c>
      <c r="EV16" s="357"/>
      <c r="EY16" s="286" t="s">
        <v>426</v>
      </c>
      <c r="EZ16" s="288" t="s">
        <v>861</v>
      </c>
      <c r="FA16" s="288" t="s">
        <v>428</v>
      </c>
      <c r="FB16" s="288" t="s">
        <v>313</v>
      </c>
      <c r="FC16" s="287">
        <v>0</v>
      </c>
      <c r="FD16" s="287">
        <v>139289</v>
      </c>
      <c r="FE16" s="287">
        <v>300000</v>
      </c>
      <c r="FF16" s="357">
        <f t="shared" si="39"/>
        <v>0</v>
      </c>
      <c r="FG16" s="357">
        <f t="shared" si="40"/>
        <v>139.28899999999999</v>
      </c>
      <c r="FH16" s="357">
        <f t="shared" si="41"/>
        <v>300</v>
      </c>
      <c r="FK16" s="280" t="s">
        <v>804</v>
      </c>
      <c r="FL16" s="280" t="s">
        <v>805</v>
      </c>
      <c r="FM16" s="280" t="s">
        <v>429</v>
      </c>
      <c r="FN16" s="280" t="s">
        <v>429</v>
      </c>
      <c r="FO16" s="357">
        <v>2712070843</v>
      </c>
      <c r="FP16" s="306">
        <f t="shared" si="42"/>
        <v>2712070.8429999999</v>
      </c>
      <c r="FR16" s="364" t="s">
        <v>426</v>
      </c>
      <c r="FS16" s="280" t="s">
        <v>861</v>
      </c>
      <c r="FT16" s="280" t="s">
        <v>453</v>
      </c>
      <c r="FU16" s="280" t="s">
        <v>269</v>
      </c>
      <c r="FV16" s="357">
        <v>0</v>
      </c>
      <c r="FW16" s="357">
        <v>2343013695</v>
      </c>
      <c r="FX16" s="357">
        <v>2299513695</v>
      </c>
      <c r="FY16" s="306">
        <f t="shared" si="43"/>
        <v>0</v>
      </c>
      <c r="FZ16" s="306">
        <f t="shared" si="44"/>
        <v>2343013.6949999998</v>
      </c>
      <c r="GA16" s="306">
        <f t="shared" si="45"/>
        <v>2299513.6949999998</v>
      </c>
      <c r="GD16" s="280" t="s">
        <v>798</v>
      </c>
      <c r="GE16" s="280" t="s">
        <v>799</v>
      </c>
      <c r="GF16" s="280" t="s">
        <v>429</v>
      </c>
      <c r="GG16" s="280" t="s">
        <v>429</v>
      </c>
      <c r="GH16" s="357">
        <v>9500000</v>
      </c>
      <c r="GI16" s="357">
        <f t="shared" si="46"/>
        <v>9500</v>
      </c>
      <c r="GK16" s="280" t="s">
        <v>426</v>
      </c>
      <c r="GL16" s="280" t="s">
        <v>861</v>
      </c>
      <c r="GM16" s="280" t="s">
        <v>429</v>
      </c>
      <c r="GN16" s="280" t="s">
        <v>429</v>
      </c>
      <c r="GO16" s="357">
        <v>0</v>
      </c>
      <c r="GP16" s="357">
        <v>0</v>
      </c>
      <c r="GQ16" s="357">
        <v>0</v>
      </c>
      <c r="GR16" s="357">
        <f t="shared" si="47"/>
        <v>0</v>
      </c>
      <c r="GS16" s="357">
        <f t="shared" si="48"/>
        <v>0</v>
      </c>
      <c r="GT16" s="357">
        <f t="shared" si="49"/>
        <v>0</v>
      </c>
      <c r="GV16" s="365" t="s">
        <v>802</v>
      </c>
      <c r="GW16" s="495" t="s">
        <v>803</v>
      </c>
      <c r="GX16" s="495" t="s">
        <v>429</v>
      </c>
      <c r="GY16" s="495" t="s">
        <v>429</v>
      </c>
      <c r="GZ16" s="366">
        <v>3323994441</v>
      </c>
      <c r="HA16" s="366">
        <f t="shared" si="50"/>
        <v>3323994.4410000001</v>
      </c>
      <c r="HC16" s="280" t="s">
        <v>426</v>
      </c>
      <c r="HD16" s="280" t="s">
        <v>861</v>
      </c>
      <c r="HE16" s="280" t="s">
        <v>451</v>
      </c>
      <c r="HF16" s="280" t="s">
        <v>452</v>
      </c>
      <c r="HG16" s="305">
        <v>0</v>
      </c>
      <c r="HH16" s="305">
        <v>197345574</v>
      </c>
      <c r="HI16" s="305">
        <v>197345574</v>
      </c>
      <c r="HJ16" s="305">
        <f t="shared" si="51"/>
        <v>0</v>
      </c>
      <c r="HK16" s="305">
        <f t="shared" si="52"/>
        <v>197345.57399999999</v>
      </c>
      <c r="HL16" s="305">
        <f t="shared" si="53"/>
        <v>197345.57399999999</v>
      </c>
    </row>
    <row r="17" spans="1:220" ht="15" customHeight="1" x14ac:dyDescent="0.2">
      <c r="A17" s="286" t="s">
        <v>432</v>
      </c>
      <c r="B17" s="288" t="s">
        <v>141</v>
      </c>
      <c r="C17" s="286" t="s">
        <v>429</v>
      </c>
      <c r="D17" s="288" t="s">
        <v>429</v>
      </c>
      <c r="E17" s="287">
        <v>7570484000</v>
      </c>
      <c r="F17" s="287">
        <v>0</v>
      </c>
      <c r="G17" s="287">
        <v>0</v>
      </c>
      <c r="H17" s="287">
        <f t="shared" si="7"/>
        <v>7888444.3280000007</v>
      </c>
      <c r="I17" s="287">
        <f t="shared" si="8"/>
        <v>0</v>
      </c>
      <c r="J17" s="287">
        <f t="shared" si="9"/>
        <v>0</v>
      </c>
      <c r="T17" s="395" t="s">
        <v>426</v>
      </c>
      <c r="U17" s="396" t="s">
        <v>861</v>
      </c>
      <c r="V17" s="395" t="s">
        <v>451</v>
      </c>
      <c r="W17" s="396" t="s">
        <v>452</v>
      </c>
      <c r="X17" s="397">
        <v>0</v>
      </c>
      <c r="Y17" s="397">
        <v>103736157</v>
      </c>
      <c r="Z17" s="397">
        <v>56316000</v>
      </c>
      <c r="AA17" s="358">
        <f t="shared" si="11"/>
        <v>0</v>
      </c>
      <c r="AB17" s="358">
        <f t="shared" si="12"/>
        <v>108093.07559400001</v>
      </c>
      <c r="AC17" s="358">
        <f t="shared" si="13"/>
        <v>58681.272000000004</v>
      </c>
      <c r="AM17" s="288" t="s">
        <v>426</v>
      </c>
      <c r="AN17" s="288" t="s">
        <v>861</v>
      </c>
      <c r="AO17" s="288" t="s">
        <v>451</v>
      </c>
      <c r="AP17" s="288" t="s">
        <v>452</v>
      </c>
      <c r="AQ17" s="288" t="s">
        <v>516</v>
      </c>
      <c r="AR17" s="398">
        <v>0</v>
      </c>
      <c r="AS17" s="398">
        <v>104152657</v>
      </c>
      <c r="AT17" s="398">
        <v>56316000</v>
      </c>
      <c r="AU17" s="398">
        <f t="shared" si="15"/>
        <v>0</v>
      </c>
      <c r="AV17" s="398">
        <f t="shared" si="16"/>
        <v>104152.65700000001</v>
      </c>
      <c r="AW17" s="398">
        <f t="shared" si="17"/>
        <v>56316</v>
      </c>
      <c r="BF17" s="365" t="s">
        <v>426</v>
      </c>
      <c r="BG17" s="399" t="s">
        <v>861</v>
      </c>
      <c r="BH17" s="286" t="s">
        <v>475</v>
      </c>
      <c r="BI17" s="288" t="s">
        <v>333</v>
      </c>
      <c r="BJ17" s="366">
        <v>0</v>
      </c>
      <c r="BK17" s="366">
        <v>49027429</v>
      </c>
      <c r="BL17" s="366">
        <v>49027429</v>
      </c>
      <c r="BM17" s="366">
        <f t="shared" si="19"/>
        <v>0</v>
      </c>
      <c r="BN17" s="366">
        <f t="shared" si="20"/>
        <v>49027.428999999996</v>
      </c>
      <c r="BO17" s="366">
        <f t="shared" si="21"/>
        <v>49027.428999999996</v>
      </c>
      <c r="BR17" s="365" t="s">
        <v>433</v>
      </c>
      <c r="BS17" s="288" t="s">
        <v>449</v>
      </c>
      <c r="BT17" s="365" t="s">
        <v>429</v>
      </c>
      <c r="BU17" s="286" t="s">
        <v>429</v>
      </c>
      <c r="BV17" s="366">
        <v>1315989963</v>
      </c>
      <c r="BW17" s="366">
        <f t="shared" si="22"/>
        <v>1315989.963</v>
      </c>
      <c r="BY17" s="286" t="s">
        <v>426</v>
      </c>
      <c r="BZ17" s="286" t="s">
        <v>861</v>
      </c>
      <c r="CA17" s="286" t="s">
        <v>453</v>
      </c>
      <c r="CB17" s="286" t="s">
        <v>269</v>
      </c>
      <c r="CC17" s="288" t="s">
        <v>516</v>
      </c>
      <c r="CD17" s="287">
        <v>0</v>
      </c>
      <c r="CE17" s="287">
        <v>1157789000</v>
      </c>
      <c r="CF17" s="287">
        <v>1060789000</v>
      </c>
      <c r="CG17" s="287">
        <f t="shared" si="23"/>
        <v>0</v>
      </c>
      <c r="CH17" s="287">
        <f t="shared" si="24"/>
        <v>1157789</v>
      </c>
      <c r="CI17" s="287">
        <f t="shared" si="25"/>
        <v>1060789</v>
      </c>
      <c r="CK17" s="288" t="s">
        <v>433</v>
      </c>
      <c r="CL17" s="288" t="s">
        <v>449</v>
      </c>
      <c r="CM17" s="288" t="s">
        <v>429</v>
      </c>
      <c r="CN17" s="288" t="s">
        <v>429</v>
      </c>
      <c r="CO17" s="287">
        <v>1693761220</v>
      </c>
      <c r="CP17" s="287">
        <f t="shared" si="26"/>
        <v>1693761.22</v>
      </c>
      <c r="CR17" s="288" t="s">
        <v>426</v>
      </c>
      <c r="CS17" s="288" t="s">
        <v>861</v>
      </c>
      <c r="CT17" s="288" t="s">
        <v>427</v>
      </c>
      <c r="CU17" s="288" t="s">
        <v>270</v>
      </c>
      <c r="CV17" s="287">
        <v>0</v>
      </c>
      <c r="CW17" s="287">
        <v>174095236</v>
      </c>
      <c r="CX17" s="287">
        <v>80324566</v>
      </c>
      <c r="CY17" s="287">
        <f t="shared" si="27"/>
        <v>0</v>
      </c>
      <c r="CZ17" s="287">
        <f t="shared" si="28"/>
        <v>174095.236</v>
      </c>
      <c r="DA17" s="287">
        <f t="shared" si="29"/>
        <v>80324.566000000006</v>
      </c>
      <c r="DC17" s="365" t="s">
        <v>430</v>
      </c>
      <c r="DD17" s="288" t="s">
        <v>448</v>
      </c>
      <c r="DE17" s="365" t="s">
        <v>429</v>
      </c>
      <c r="DF17" s="286" t="s">
        <v>429</v>
      </c>
      <c r="DG17" s="366">
        <v>17089021000</v>
      </c>
      <c r="DH17" s="366">
        <f t="shared" si="30"/>
        <v>17089021</v>
      </c>
      <c r="DK17" s="286" t="s">
        <v>426</v>
      </c>
      <c r="DL17" s="288" t="s">
        <v>861</v>
      </c>
      <c r="DM17" s="286" t="s">
        <v>453</v>
      </c>
      <c r="DN17" s="288" t="s">
        <v>269</v>
      </c>
      <c r="DO17" s="287">
        <v>0</v>
      </c>
      <c r="DP17" s="287">
        <v>2175605935</v>
      </c>
      <c r="DQ17" s="287">
        <v>1955361455</v>
      </c>
      <c r="DR17" s="287">
        <f t="shared" si="31"/>
        <v>0</v>
      </c>
      <c r="DS17" s="287">
        <f t="shared" si="32"/>
        <v>2175605.9350000001</v>
      </c>
      <c r="DT17" s="287">
        <f t="shared" si="33"/>
        <v>1955361.4550000001</v>
      </c>
      <c r="EE17" s="286" t="s">
        <v>426</v>
      </c>
      <c r="EF17" s="288" t="s">
        <v>861</v>
      </c>
      <c r="EG17" s="288" t="s">
        <v>427</v>
      </c>
      <c r="EH17" s="288" t="s">
        <v>270</v>
      </c>
      <c r="EI17" s="287">
        <v>0</v>
      </c>
      <c r="EJ17" s="287">
        <v>175268483</v>
      </c>
      <c r="EK17" s="287">
        <v>114147239</v>
      </c>
      <c r="EL17" s="358">
        <f t="shared" si="35"/>
        <v>0</v>
      </c>
      <c r="EM17" s="358">
        <f t="shared" si="36"/>
        <v>175268.48300000001</v>
      </c>
      <c r="EN17" s="358">
        <f t="shared" si="37"/>
        <v>114147.239</v>
      </c>
      <c r="EV17" s="357"/>
      <c r="EY17" s="286" t="s">
        <v>426</v>
      </c>
      <c r="EZ17" s="288" t="s">
        <v>861</v>
      </c>
      <c r="FA17" s="288" t="s">
        <v>475</v>
      </c>
      <c r="FB17" s="288" t="s">
        <v>333</v>
      </c>
      <c r="FC17" s="287">
        <v>0</v>
      </c>
      <c r="FD17" s="287">
        <v>49027429</v>
      </c>
      <c r="FE17" s="287">
        <v>49027429</v>
      </c>
      <c r="FF17" s="357">
        <f t="shared" si="39"/>
        <v>0</v>
      </c>
      <c r="FG17" s="357">
        <f t="shared" si="40"/>
        <v>49027.428999999996</v>
      </c>
      <c r="FH17" s="357">
        <f t="shared" si="41"/>
        <v>49027.428999999996</v>
      </c>
      <c r="FK17" s="280" t="s">
        <v>806</v>
      </c>
      <c r="FL17" s="280" t="s">
        <v>807</v>
      </c>
      <c r="FM17" s="280" t="s">
        <v>429</v>
      </c>
      <c r="FN17" s="280" t="s">
        <v>429</v>
      </c>
      <c r="FO17" s="357">
        <v>448453951</v>
      </c>
      <c r="FP17" s="306">
        <f t="shared" si="42"/>
        <v>448453.951</v>
      </c>
      <c r="FR17" s="364" t="s">
        <v>426</v>
      </c>
      <c r="FS17" s="280" t="s">
        <v>861</v>
      </c>
      <c r="FT17" s="280" t="s">
        <v>475</v>
      </c>
      <c r="FU17" s="280" t="s">
        <v>333</v>
      </c>
      <c r="FV17" s="357">
        <v>0</v>
      </c>
      <c r="FW17" s="357">
        <v>49027429</v>
      </c>
      <c r="FX17" s="357">
        <v>49027429</v>
      </c>
      <c r="FY17" s="306">
        <f t="shared" si="43"/>
        <v>0</v>
      </c>
      <c r="FZ17" s="306">
        <f t="shared" si="44"/>
        <v>49027.428999999996</v>
      </c>
      <c r="GA17" s="306">
        <f t="shared" si="45"/>
        <v>49027.428999999996</v>
      </c>
      <c r="GD17" s="280" t="s">
        <v>800</v>
      </c>
      <c r="GE17" s="280" t="s">
        <v>801</v>
      </c>
      <c r="GF17" s="280" t="s">
        <v>429</v>
      </c>
      <c r="GG17" s="280" t="s">
        <v>429</v>
      </c>
      <c r="GH17" s="357">
        <v>72530855</v>
      </c>
      <c r="GI17" s="357">
        <f t="shared" si="46"/>
        <v>72530.854999999996</v>
      </c>
      <c r="GK17" s="280" t="s">
        <v>426</v>
      </c>
      <c r="GL17" s="280" t="s">
        <v>861</v>
      </c>
      <c r="GM17" s="280" t="s">
        <v>427</v>
      </c>
      <c r="GN17" s="280" t="s">
        <v>270</v>
      </c>
      <c r="GO17" s="357">
        <v>0</v>
      </c>
      <c r="GP17" s="357">
        <v>184928483</v>
      </c>
      <c r="GQ17" s="357">
        <v>168157243</v>
      </c>
      <c r="GR17" s="357">
        <f t="shared" si="47"/>
        <v>0</v>
      </c>
      <c r="GS17" s="357">
        <f t="shared" si="48"/>
        <v>184928.48300000001</v>
      </c>
      <c r="GT17" s="357">
        <f t="shared" si="49"/>
        <v>168157.24299999999</v>
      </c>
      <c r="GV17" s="365" t="s">
        <v>804</v>
      </c>
      <c r="GW17" s="495" t="s">
        <v>805</v>
      </c>
      <c r="GX17" s="495" t="s">
        <v>429</v>
      </c>
      <c r="GY17" s="495" t="s">
        <v>429</v>
      </c>
      <c r="GZ17" s="366">
        <v>20748846824</v>
      </c>
      <c r="HA17" s="366">
        <f t="shared" si="50"/>
        <v>20748846.824000001</v>
      </c>
      <c r="HC17" s="280" t="s">
        <v>426</v>
      </c>
      <c r="HD17" s="280" t="s">
        <v>861</v>
      </c>
      <c r="HE17" s="280" t="s">
        <v>427</v>
      </c>
      <c r="HF17" s="280" t="s">
        <v>270</v>
      </c>
      <c r="HG17" s="305">
        <v>0</v>
      </c>
      <c r="HH17" s="305">
        <v>185243564</v>
      </c>
      <c r="HI17" s="305">
        <v>185243564</v>
      </c>
      <c r="HJ17" s="305">
        <f t="shared" si="51"/>
        <v>0</v>
      </c>
      <c r="HK17" s="305">
        <f t="shared" si="52"/>
        <v>185243.56400000001</v>
      </c>
      <c r="HL17" s="305">
        <f t="shared" si="53"/>
        <v>185243.56400000001</v>
      </c>
    </row>
    <row r="18" spans="1:220" ht="15" customHeight="1" x14ac:dyDescent="0.2">
      <c r="A18" s="286" t="s">
        <v>786</v>
      </c>
      <c r="B18" s="288" t="s">
        <v>787</v>
      </c>
      <c r="C18" s="286" t="s">
        <v>429</v>
      </c>
      <c r="D18" s="288" t="s">
        <v>429</v>
      </c>
      <c r="E18" s="287">
        <v>43586656500</v>
      </c>
      <c r="F18" s="287">
        <v>0</v>
      </c>
      <c r="G18" s="287">
        <v>0</v>
      </c>
      <c r="H18" s="287">
        <f t="shared" si="7"/>
        <v>45417296.072999999</v>
      </c>
      <c r="I18" s="287">
        <f t="shared" si="8"/>
        <v>0</v>
      </c>
      <c r="J18" s="287">
        <f t="shared" si="9"/>
        <v>0</v>
      </c>
      <c r="T18" s="395" t="s">
        <v>896</v>
      </c>
      <c r="U18" s="396" t="s">
        <v>897</v>
      </c>
      <c r="V18" s="395" t="s">
        <v>429</v>
      </c>
      <c r="W18" s="396" t="s">
        <v>429</v>
      </c>
      <c r="X18" s="397">
        <v>464198000</v>
      </c>
      <c r="Y18" s="397">
        <v>0</v>
      </c>
      <c r="Z18" s="397">
        <v>0</v>
      </c>
      <c r="AA18" s="358">
        <f t="shared" si="11"/>
        <v>483694.31599999999</v>
      </c>
      <c r="AB18" s="358">
        <f t="shared" si="12"/>
        <v>0</v>
      </c>
      <c r="AC18" s="358">
        <f t="shared" si="13"/>
        <v>0</v>
      </c>
      <c r="AM18" s="288" t="s">
        <v>426</v>
      </c>
      <c r="AN18" s="288" t="s">
        <v>861</v>
      </c>
      <c r="AO18" s="288" t="s">
        <v>475</v>
      </c>
      <c r="AP18" s="288" t="s">
        <v>333</v>
      </c>
      <c r="AQ18" s="288" t="s">
        <v>516</v>
      </c>
      <c r="AR18" s="398">
        <v>0</v>
      </c>
      <c r="AS18" s="398">
        <v>49027429</v>
      </c>
      <c r="AT18" s="398">
        <v>49027429</v>
      </c>
      <c r="AU18" s="398">
        <f t="shared" si="15"/>
        <v>0</v>
      </c>
      <c r="AV18" s="398">
        <f t="shared" si="16"/>
        <v>49027.428999999996</v>
      </c>
      <c r="AW18" s="398">
        <f t="shared" si="17"/>
        <v>49027.428999999996</v>
      </c>
      <c r="BF18" s="365" t="s">
        <v>426</v>
      </c>
      <c r="BG18" s="399" t="s">
        <v>861</v>
      </c>
      <c r="BH18" s="286" t="s">
        <v>451</v>
      </c>
      <c r="BI18" s="288" t="s">
        <v>452</v>
      </c>
      <c r="BJ18" s="366">
        <v>0</v>
      </c>
      <c r="BK18" s="366">
        <v>104152657</v>
      </c>
      <c r="BL18" s="366">
        <v>56316000</v>
      </c>
      <c r="BM18" s="366">
        <f t="shared" si="19"/>
        <v>0</v>
      </c>
      <c r="BN18" s="366">
        <f t="shared" si="20"/>
        <v>104152.65700000001</v>
      </c>
      <c r="BO18" s="366">
        <f t="shared" si="21"/>
        <v>56316</v>
      </c>
      <c r="BY18" s="286" t="s">
        <v>426</v>
      </c>
      <c r="BZ18" s="286" t="s">
        <v>861</v>
      </c>
      <c r="CA18" s="286" t="s">
        <v>451</v>
      </c>
      <c r="CB18" s="286" t="s">
        <v>452</v>
      </c>
      <c r="CC18" s="288" t="s">
        <v>516</v>
      </c>
      <c r="CD18" s="287">
        <v>0</v>
      </c>
      <c r="CE18" s="287">
        <v>104152657</v>
      </c>
      <c r="CF18" s="287">
        <v>56316000</v>
      </c>
      <c r="CG18" s="287">
        <f t="shared" si="23"/>
        <v>0</v>
      </c>
      <c r="CH18" s="287">
        <f t="shared" si="24"/>
        <v>104152.65700000001</v>
      </c>
      <c r="CI18" s="287">
        <f t="shared" si="25"/>
        <v>56316</v>
      </c>
      <c r="CK18" s="288"/>
      <c r="CL18" s="288"/>
      <c r="CM18" s="288"/>
      <c r="CN18" s="288"/>
      <c r="CR18" s="288" t="s">
        <v>426</v>
      </c>
      <c r="CS18" s="288" t="s">
        <v>861</v>
      </c>
      <c r="CT18" s="288" t="s">
        <v>453</v>
      </c>
      <c r="CU18" s="288" t="s">
        <v>269</v>
      </c>
      <c r="CV18" s="287">
        <v>0</v>
      </c>
      <c r="CW18" s="287">
        <v>1186989000</v>
      </c>
      <c r="CX18" s="287">
        <v>1186989000</v>
      </c>
      <c r="CY18" s="287">
        <f t="shared" si="27"/>
        <v>0</v>
      </c>
      <c r="CZ18" s="287">
        <f t="shared" si="28"/>
        <v>1186989</v>
      </c>
      <c r="DA18" s="287">
        <f t="shared" si="29"/>
        <v>1186989</v>
      </c>
      <c r="DC18" s="365" t="s">
        <v>433</v>
      </c>
      <c r="DD18" s="288" t="s">
        <v>449</v>
      </c>
      <c r="DE18" s="365" t="s">
        <v>429</v>
      </c>
      <c r="DF18" s="286" t="s">
        <v>429</v>
      </c>
      <c r="DG18" s="366">
        <v>514826011</v>
      </c>
      <c r="DH18" s="366">
        <f t="shared" si="30"/>
        <v>514826.011</v>
      </c>
      <c r="DK18" s="286" t="s">
        <v>426</v>
      </c>
      <c r="DL18" s="288" t="s">
        <v>861</v>
      </c>
      <c r="DM18" s="286" t="s">
        <v>429</v>
      </c>
      <c r="DN18" s="288" t="s">
        <v>429</v>
      </c>
      <c r="DO18" s="287">
        <v>0</v>
      </c>
      <c r="DP18" s="287">
        <v>0</v>
      </c>
      <c r="DQ18" s="287">
        <v>0</v>
      </c>
      <c r="DR18" s="287">
        <f t="shared" si="31"/>
        <v>0</v>
      </c>
      <c r="DS18" s="287">
        <f t="shared" si="32"/>
        <v>0</v>
      </c>
      <c r="DT18" s="287">
        <f t="shared" si="33"/>
        <v>0</v>
      </c>
      <c r="EE18" s="286" t="s">
        <v>426</v>
      </c>
      <c r="EF18" s="288" t="s">
        <v>861</v>
      </c>
      <c r="EG18" s="288" t="s">
        <v>475</v>
      </c>
      <c r="EH18" s="288" t="s">
        <v>333</v>
      </c>
      <c r="EI18" s="287">
        <v>0</v>
      </c>
      <c r="EJ18" s="287">
        <v>49027429</v>
      </c>
      <c r="EK18" s="287">
        <v>49027429</v>
      </c>
      <c r="EL18" s="358">
        <f t="shared" si="35"/>
        <v>0</v>
      </c>
      <c r="EM18" s="358">
        <f t="shared" si="36"/>
        <v>49027.428999999996</v>
      </c>
      <c r="EN18" s="358">
        <f t="shared" si="37"/>
        <v>49027.428999999996</v>
      </c>
      <c r="EV18" s="357"/>
      <c r="EY18" s="286" t="s">
        <v>426</v>
      </c>
      <c r="EZ18" s="288" t="s">
        <v>861</v>
      </c>
      <c r="FA18" s="288" t="s">
        <v>429</v>
      </c>
      <c r="FB18" s="288" t="s">
        <v>429</v>
      </c>
      <c r="FC18" s="287">
        <v>0</v>
      </c>
      <c r="FD18" s="287">
        <v>0</v>
      </c>
      <c r="FE18" s="287">
        <v>0</v>
      </c>
      <c r="FF18" s="357">
        <f t="shared" si="39"/>
        <v>0</v>
      </c>
      <c r="FG18" s="357">
        <f t="shared" si="40"/>
        <v>0</v>
      </c>
      <c r="FH18" s="357">
        <f t="shared" si="41"/>
        <v>0</v>
      </c>
      <c r="FK18" s="280" t="s">
        <v>433</v>
      </c>
      <c r="FL18" s="280" t="s">
        <v>449</v>
      </c>
      <c r="FM18" s="280" t="s">
        <v>429</v>
      </c>
      <c r="FN18" s="280" t="s">
        <v>429</v>
      </c>
      <c r="FO18" s="357">
        <v>65009525</v>
      </c>
      <c r="FP18" s="306">
        <f t="shared" si="42"/>
        <v>65009.525000000001</v>
      </c>
      <c r="FR18" s="364" t="s">
        <v>426</v>
      </c>
      <c r="FS18" s="280" t="s">
        <v>861</v>
      </c>
      <c r="FT18" s="280" t="s">
        <v>428</v>
      </c>
      <c r="FU18" s="280" t="s">
        <v>313</v>
      </c>
      <c r="FV18" s="357">
        <v>0</v>
      </c>
      <c r="FW18" s="357">
        <v>300000</v>
      </c>
      <c r="FX18" s="357">
        <v>139289</v>
      </c>
      <c r="FY18" s="306">
        <f t="shared" si="43"/>
        <v>0</v>
      </c>
      <c r="FZ18" s="306">
        <f t="shared" si="44"/>
        <v>300</v>
      </c>
      <c r="GA18" s="306">
        <f t="shared" si="45"/>
        <v>139.28899999999999</v>
      </c>
      <c r="GD18" s="280" t="s">
        <v>802</v>
      </c>
      <c r="GE18" s="280" t="s">
        <v>803</v>
      </c>
      <c r="GF18" s="280" t="s">
        <v>429</v>
      </c>
      <c r="GG18" s="280" t="s">
        <v>429</v>
      </c>
      <c r="GH18" s="357">
        <v>760813528</v>
      </c>
      <c r="GI18" s="357">
        <f t="shared" si="46"/>
        <v>760813.52800000005</v>
      </c>
      <c r="GK18" s="280" t="s">
        <v>426</v>
      </c>
      <c r="GL18" s="280" t="s">
        <v>861</v>
      </c>
      <c r="GM18" s="280" t="s">
        <v>450</v>
      </c>
      <c r="GN18" s="280" t="s">
        <v>272</v>
      </c>
      <c r="GO18" s="357">
        <v>0</v>
      </c>
      <c r="GP18" s="357">
        <v>2386622</v>
      </c>
      <c r="GQ18" s="357">
        <v>2386622</v>
      </c>
      <c r="GR18" s="357">
        <f t="shared" si="47"/>
        <v>0</v>
      </c>
      <c r="GS18" s="357">
        <f t="shared" si="48"/>
        <v>2386.6219999999998</v>
      </c>
      <c r="GT18" s="357">
        <f t="shared" si="49"/>
        <v>2386.6219999999998</v>
      </c>
      <c r="GV18" s="365" t="s">
        <v>806</v>
      </c>
      <c r="GW18" s="495" t="s">
        <v>807</v>
      </c>
      <c r="GX18" s="495" t="s">
        <v>429</v>
      </c>
      <c r="GY18" s="495" t="s">
        <v>429</v>
      </c>
      <c r="GZ18" s="366">
        <v>3760735843</v>
      </c>
      <c r="HA18" s="366">
        <f t="shared" si="50"/>
        <v>3760735.8429999999</v>
      </c>
      <c r="HC18" s="280" t="s">
        <v>426</v>
      </c>
      <c r="HD18" s="280" t="s">
        <v>861</v>
      </c>
      <c r="HE18" s="280" t="s">
        <v>453</v>
      </c>
      <c r="HF18" s="280" t="s">
        <v>269</v>
      </c>
      <c r="HG18" s="305">
        <v>0</v>
      </c>
      <c r="HH18" s="305">
        <v>3031134245</v>
      </c>
      <c r="HI18" s="305">
        <v>3031134245</v>
      </c>
      <c r="HJ18" s="305">
        <f t="shared" si="51"/>
        <v>0</v>
      </c>
      <c r="HK18" s="305">
        <f t="shared" si="52"/>
        <v>3031134.2450000001</v>
      </c>
      <c r="HL18" s="305">
        <f t="shared" si="53"/>
        <v>3031134.2450000001</v>
      </c>
    </row>
    <row r="19" spans="1:220" ht="15" customHeight="1" x14ac:dyDescent="0.2">
      <c r="A19" s="286" t="s">
        <v>788</v>
      </c>
      <c r="B19" s="288" t="s">
        <v>789</v>
      </c>
      <c r="C19" s="286" t="s">
        <v>429</v>
      </c>
      <c r="D19" s="288" t="s">
        <v>429</v>
      </c>
      <c r="E19" s="287">
        <v>31528885500</v>
      </c>
      <c r="F19" s="287">
        <v>0</v>
      </c>
      <c r="G19" s="287">
        <v>0</v>
      </c>
      <c r="H19" s="287">
        <f t="shared" si="7"/>
        <v>32853098.691</v>
      </c>
      <c r="I19" s="287">
        <f t="shared" si="8"/>
        <v>0</v>
      </c>
      <c r="J19" s="287">
        <f t="shared" si="9"/>
        <v>0</v>
      </c>
      <c r="T19" s="395" t="s">
        <v>860</v>
      </c>
      <c r="U19" s="396" t="s">
        <v>51</v>
      </c>
      <c r="V19" s="395" t="s">
        <v>429</v>
      </c>
      <c r="W19" s="396" t="s">
        <v>429</v>
      </c>
      <c r="X19" s="397">
        <v>10100</v>
      </c>
      <c r="Y19" s="397">
        <v>0</v>
      </c>
      <c r="Z19" s="397">
        <v>0</v>
      </c>
      <c r="AA19" s="358">
        <f t="shared" si="11"/>
        <v>10.5242</v>
      </c>
      <c r="AB19" s="358">
        <f t="shared" si="12"/>
        <v>0</v>
      </c>
      <c r="AC19" s="358">
        <f t="shared" si="13"/>
        <v>0</v>
      </c>
      <c r="AM19" s="288" t="s">
        <v>896</v>
      </c>
      <c r="AN19" s="288" t="s">
        <v>897</v>
      </c>
      <c r="AO19" s="288" t="s">
        <v>429</v>
      </c>
      <c r="AP19" s="288" t="s">
        <v>429</v>
      </c>
      <c r="AQ19" s="288" t="s">
        <v>516</v>
      </c>
      <c r="AR19" s="398">
        <v>464198000</v>
      </c>
      <c r="AS19" s="398">
        <v>0</v>
      </c>
      <c r="AT19" s="398">
        <v>0</v>
      </c>
      <c r="AU19" s="398">
        <f t="shared" si="15"/>
        <v>464198</v>
      </c>
      <c r="AV19" s="398">
        <f t="shared" si="16"/>
        <v>0</v>
      </c>
      <c r="AW19" s="398">
        <f t="shared" si="17"/>
        <v>0</v>
      </c>
      <c r="BF19" s="365" t="s">
        <v>896</v>
      </c>
      <c r="BG19" s="399" t="s">
        <v>897</v>
      </c>
      <c r="BH19" s="286" t="s">
        <v>429</v>
      </c>
      <c r="BI19" s="288" t="s">
        <v>429</v>
      </c>
      <c r="BJ19" s="366">
        <v>464198000</v>
      </c>
      <c r="BK19" s="366">
        <v>0</v>
      </c>
      <c r="BL19" s="366">
        <v>0</v>
      </c>
      <c r="BM19" s="366">
        <f t="shared" si="19"/>
        <v>464198</v>
      </c>
      <c r="BN19" s="366">
        <f t="shared" si="20"/>
        <v>0</v>
      </c>
      <c r="BO19" s="366">
        <f t="shared" si="21"/>
        <v>0</v>
      </c>
      <c r="BY19" s="286" t="s">
        <v>896</v>
      </c>
      <c r="BZ19" s="286" t="s">
        <v>897</v>
      </c>
      <c r="CA19" s="286" t="s">
        <v>429</v>
      </c>
      <c r="CB19" s="286" t="s">
        <v>429</v>
      </c>
      <c r="CC19" s="288" t="s">
        <v>516</v>
      </c>
      <c r="CD19" s="287">
        <v>464198000</v>
      </c>
      <c r="CE19" s="287">
        <v>0</v>
      </c>
      <c r="CF19" s="287">
        <v>0</v>
      </c>
      <c r="CG19" s="287">
        <f t="shared" si="23"/>
        <v>464198</v>
      </c>
      <c r="CH19" s="287">
        <f t="shared" si="24"/>
        <v>0</v>
      </c>
      <c r="CI19" s="287">
        <f t="shared" si="25"/>
        <v>0</v>
      </c>
      <c r="CR19" s="288" t="s">
        <v>426</v>
      </c>
      <c r="CS19" s="288" t="s">
        <v>861</v>
      </c>
      <c r="CT19" s="288" t="s">
        <v>429</v>
      </c>
      <c r="CU19" s="288" t="s">
        <v>429</v>
      </c>
      <c r="CV19" s="287">
        <v>0</v>
      </c>
      <c r="CW19" s="287">
        <v>0</v>
      </c>
      <c r="CX19" s="287">
        <v>0</v>
      </c>
      <c r="CY19" s="287">
        <f t="shared" si="27"/>
        <v>0</v>
      </c>
      <c r="CZ19" s="287">
        <f t="shared" si="28"/>
        <v>0</v>
      </c>
      <c r="DA19" s="287">
        <f t="shared" si="29"/>
        <v>0</v>
      </c>
      <c r="DK19" s="286" t="s">
        <v>426</v>
      </c>
      <c r="DL19" s="288" t="s">
        <v>861</v>
      </c>
      <c r="DM19" s="286" t="s">
        <v>427</v>
      </c>
      <c r="DN19" s="288" t="s">
        <v>270</v>
      </c>
      <c r="DO19" s="287">
        <v>0</v>
      </c>
      <c r="DP19" s="287">
        <v>177095236</v>
      </c>
      <c r="DQ19" s="287">
        <v>97402221</v>
      </c>
      <c r="DR19" s="287">
        <f t="shared" si="31"/>
        <v>0</v>
      </c>
      <c r="DS19" s="287">
        <f t="shared" si="32"/>
        <v>177095.236</v>
      </c>
      <c r="DT19" s="287">
        <f t="shared" si="33"/>
        <v>97402.221000000005</v>
      </c>
      <c r="EE19" s="286" t="s">
        <v>426</v>
      </c>
      <c r="EF19" s="288" t="s">
        <v>861</v>
      </c>
      <c r="EG19" s="288" t="s">
        <v>451</v>
      </c>
      <c r="EH19" s="288" t="s">
        <v>452</v>
      </c>
      <c r="EI19" s="287">
        <v>0</v>
      </c>
      <c r="EJ19" s="287">
        <v>117256745</v>
      </c>
      <c r="EK19" s="287">
        <v>87042926</v>
      </c>
      <c r="EL19" s="358">
        <f t="shared" si="35"/>
        <v>0</v>
      </c>
      <c r="EM19" s="358">
        <f t="shared" si="36"/>
        <v>117256.745</v>
      </c>
      <c r="EN19" s="358">
        <f t="shared" si="37"/>
        <v>87042.926000000007</v>
      </c>
      <c r="EV19" s="357"/>
      <c r="EY19" s="286" t="s">
        <v>426</v>
      </c>
      <c r="EZ19" s="288" t="s">
        <v>861</v>
      </c>
      <c r="FA19" s="288" t="s">
        <v>450</v>
      </c>
      <c r="FB19" s="288" t="s">
        <v>272</v>
      </c>
      <c r="FC19" s="287">
        <v>0</v>
      </c>
      <c r="FD19" s="287">
        <v>490000</v>
      </c>
      <c r="FE19" s="287">
        <v>490000</v>
      </c>
      <c r="FF19" s="357">
        <f t="shared" si="39"/>
        <v>0</v>
      </c>
      <c r="FG19" s="357">
        <f t="shared" si="40"/>
        <v>490</v>
      </c>
      <c r="FH19" s="357">
        <f t="shared" si="41"/>
        <v>490</v>
      </c>
      <c r="FK19" s="280" t="s">
        <v>847</v>
      </c>
      <c r="FL19" s="280" t="s">
        <v>848</v>
      </c>
      <c r="FM19" s="280" t="s">
        <v>429</v>
      </c>
      <c r="FN19" s="280" t="s">
        <v>429</v>
      </c>
      <c r="FO19" s="357">
        <v>345827643</v>
      </c>
      <c r="FP19" s="306">
        <f t="shared" si="42"/>
        <v>345827.64299999998</v>
      </c>
      <c r="FR19" s="364" t="s">
        <v>426</v>
      </c>
      <c r="FS19" s="280" t="s">
        <v>861</v>
      </c>
      <c r="FT19" s="280" t="s">
        <v>429</v>
      </c>
      <c r="FU19" s="280" t="s">
        <v>429</v>
      </c>
      <c r="FV19" s="357">
        <v>0</v>
      </c>
      <c r="FW19" s="357">
        <v>0</v>
      </c>
      <c r="FX19" s="357">
        <v>0</v>
      </c>
      <c r="FY19" s="306">
        <f t="shared" si="43"/>
        <v>0</v>
      </c>
      <c r="FZ19" s="306">
        <f t="shared" si="44"/>
        <v>0</v>
      </c>
      <c r="GA19" s="306">
        <f t="shared" si="45"/>
        <v>0</v>
      </c>
      <c r="GD19" s="280" t="s">
        <v>804</v>
      </c>
      <c r="GE19" s="280" t="s">
        <v>805</v>
      </c>
      <c r="GF19" s="280" t="s">
        <v>429</v>
      </c>
      <c r="GG19" s="280" t="s">
        <v>429</v>
      </c>
      <c r="GH19" s="357">
        <v>2127758925</v>
      </c>
      <c r="GI19" s="357">
        <f t="shared" si="46"/>
        <v>2127758.9249999998</v>
      </c>
      <c r="GK19" s="280" t="s">
        <v>426</v>
      </c>
      <c r="GL19" s="280" t="s">
        <v>861</v>
      </c>
      <c r="GM19" s="280" t="s">
        <v>453</v>
      </c>
      <c r="GN19" s="280" t="s">
        <v>269</v>
      </c>
      <c r="GO19" s="357">
        <v>0</v>
      </c>
      <c r="GP19" s="357">
        <v>2343013695</v>
      </c>
      <c r="GQ19" s="357">
        <v>2343013695</v>
      </c>
      <c r="GR19" s="357">
        <f t="shared" si="47"/>
        <v>0</v>
      </c>
      <c r="GS19" s="357">
        <f t="shared" si="48"/>
        <v>2343013.6949999998</v>
      </c>
      <c r="GT19" s="357">
        <f t="shared" si="49"/>
        <v>2343013.6949999998</v>
      </c>
      <c r="GV19" s="365" t="s">
        <v>433</v>
      </c>
      <c r="GW19" s="495" t="s">
        <v>449</v>
      </c>
      <c r="GX19" s="495" t="s">
        <v>429</v>
      </c>
      <c r="GY19" s="495" t="s">
        <v>429</v>
      </c>
      <c r="GZ19" s="366">
        <v>2374420132</v>
      </c>
      <c r="HA19" s="366">
        <f t="shared" si="50"/>
        <v>2374420.1320000002</v>
      </c>
      <c r="HC19" s="280" t="s">
        <v>426</v>
      </c>
      <c r="HD19" s="280" t="s">
        <v>861</v>
      </c>
      <c r="HE19" s="280" t="s">
        <v>429</v>
      </c>
      <c r="HF19" s="280" t="s">
        <v>429</v>
      </c>
      <c r="HG19" s="305">
        <v>0</v>
      </c>
      <c r="HH19" s="305">
        <v>0</v>
      </c>
      <c r="HI19" s="305">
        <v>0</v>
      </c>
      <c r="HJ19" s="305">
        <f t="shared" si="51"/>
        <v>0</v>
      </c>
      <c r="HK19" s="305">
        <f t="shared" si="52"/>
        <v>0</v>
      </c>
      <c r="HL19" s="305">
        <f t="shared" si="53"/>
        <v>0</v>
      </c>
    </row>
    <row r="20" spans="1:220" ht="15" customHeight="1" x14ac:dyDescent="0.2">
      <c r="A20" s="286" t="s">
        <v>788</v>
      </c>
      <c r="B20" s="288" t="s">
        <v>789</v>
      </c>
      <c r="C20" s="286" t="s">
        <v>429</v>
      </c>
      <c r="D20" s="288" t="s">
        <v>429</v>
      </c>
      <c r="E20" s="287">
        <v>0</v>
      </c>
      <c r="F20" s="287">
        <v>6094720242</v>
      </c>
      <c r="G20" s="287">
        <v>1941934859</v>
      </c>
      <c r="H20" s="287">
        <f t="shared" si="7"/>
        <v>0</v>
      </c>
      <c r="I20" s="287">
        <f t="shared" si="8"/>
        <v>6350698.4921639999</v>
      </c>
      <c r="J20" s="287">
        <f t="shared" si="9"/>
        <v>2023496.123078</v>
      </c>
      <c r="T20" s="395" t="s">
        <v>432</v>
      </c>
      <c r="U20" s="396" t="s">
        <v>141</v>
      </c>
      <c r="V20" s="395" t="s">
        <v>429</v>
      </c>
      <c r="W20" s="396" t="s">
        <v>429</v>
      </c>
      <c r="X20" s="397">
        <v>7570484000</v>
      </c>
      <c r="Y20" s="397">
        <v>0</v>
      </c>
      <c r="Z20" s="397">
        <v>0</v>
      </c>
      <c r="AA20" s="358">
        <f t="shared" si="11"/>
        <v>7888444.3280000007</v>
      </c>
      <c r="AB20" s="358">
        <f t="shared" si="12"/>
        <v>0</v>
      </c>
      <c r="AC20" s="358">
        <f t="shared" si="13"/>
        <v>0</v>
      </c>
      <c r="AM20" s="288" t="s">
        <v>860</v>
      </c>
      <c r="AN20" s="288" t="s">
        <v>51</v>
      </c>
      <c r="AO20" s="288" t="s">
        <v>429</v>
      </c>
      <c r="AP20" s="288" t="s">
        <v>429</v>
      </c>
      <c r="AQ20" s="288" t="s">
        <v>516</v>
      </c>
      <c r="AR20" s="398">
        <v>10100</v>
      </c>
      <c r="AS20" s="398">
        <v>0</v>
      </c>
      <c r="AT20" s="398">
        <v>0</v>
      </c>
      <c r="AU20" s="398">
        <f t="shared" si="15"/>
        <v>10.1</v>
      </c>
      <c r="AV20" s="398">
        <f t="shared" si="16"/>
        <v>0</v>
      </c>
      <c r="AW20" s="398">
        <f t="shared" si="17"/>
        <v>0</v>
      </c>
      <c r="BF20" s="365" t="s">
        <v>860</v>
      </c>
      <c r="BG20" s="399" t="s">
        <v>51</v>
      </c>
      <c r="BH20" s="286" t="s">
        <v>429</v>
      </c>
      <c r="BI20" s="288" t="s">
        <v>429</v>
      </c>
      <c r="BJ20" s="366">
        <v>10100</v>
      </c>
      <c r="BK20" s="366">
        <v>0</v>
      </c>
      <c r="BL20" s="366">
        <v>0</v>
      </c>
      <c r="BM20" s="366">
        <f t="shared" si="19"/>
        <v>10.1</v>
      </c>
      <c r="BN20" s="366">
        <f t="shared" si="20"/>
        <v>0</v>
      </c>
      <c r="BO20" s="366">
        <f t="shared" si="21"/>
        <v>0</v>
      </c>
      <c r="BY20" s="286" t="s">
        <v>896</v>
      </c>
      <c r="BZ20" s="286" t="s">
        <v>897</v>
      </c>
      <c r="CA20" s="286" t="s">
        <v>429</v>
      </c>
      <c r="CB20" s="286" t="s">
        <v>429</v>
      </c>
      <c r="CC20" s="288" t="s">
        <v>516</v>
      </c>
      <c r="CD20" s="287">
        <v>0</v>
      </c>
      <c r="CE20" s="287">
        <v>228076665</v>
      </c>
      <c r="CF20" s="287">
        <v>31380000</v>
      </c>
      <c r="CG20" s="287">
        <f t="shared" si="23"/>
        <v>0</v>
      </c>
      <c r="CH20" s="287">
        <f t="shared" si="24"/>
        <v>228076.66500000001</v>
      </c>
      <c r="CI20" s="287">
        <f t="shared" si="25"/>
        <v>31380</v>
      </c>
      <c r="CR20" s="288" t="s">
        <v>426</v>
      </c>
      <c r="CS20" s="288" t="s">
        <v>861</v>
      </c>
      <c r="CT20" s="288" t="s">
        <v>451</v>
      </c>
      <c r="CU20" s="288" t="s">
        <v>452</v>
      </c>
      <c r="CV20" s="287">
        <v>0</v>
      </c>
      <c r="CW20" s="287">
        <v>104152657</v>
      </c>
      <c r="CX20" s="287">
        <v>56316000</v>
      </c>
      <c r="CY20" s="287">
        <f t="shared" si="27"/>
        <v>0</v>
      </c>
      <c r="CZ20" s="287">
        <f t="shared" si="28"/>
        <v>104152.65700000001</v>
      </c>
      <c r="DA20" s="287">
        <f t="shared" si="29"/>
        <v>56316</v>
      </c>
      <c r="DK20" s="286" t="s">
        <v>426</v>
      </c>
      <c r="DL20" s="288" t="s">
        <v>861</v>
      </c>
      <c r="DM20" s="286" t="s">
        <v>450</v>
      </c>
      <c r="DN20" s="288" t="s">
        <v>272</v>
      </c>
      <c r="DO20" s="287">
        <v>0</v>
      </c>
      <c r="DP20" s="287">
        <v>490000</v>
      </c>
      <c r="DQ20" s="287">
        <v>490000</v>
      </c>
      <c r="DR20" s="287">
        <f t="shared" si="31"/>
        <v>0</v>
      </c>
      <c r="DS20" s="287">
        <f t="shared" si="32"/>
        <v>490</v>
      </c>
      <c r="DT20" s="287">
        <f t="shared" si="33"/>
        <v>490</v>
      </c>
      <c r="EE20" s="286" t="s">
        <v>426</v>
      </c>
      <c r="EF20" s="288" t="s">
        <v>861</v>
      </c>
      <c r="EG20" s="288" t="s">
        <v>428</v>
      </c>
      <c r="EH20" s="288" t="s">
        <v>313</v>
      </c>
      <c r="EI20" s="287">
        <v>0</v>
      </c>
      <c r="EJ20" s="287">
        <v>300000</v>
      </c>
      <c r="EK20" s="287">
        <v>139289</v>
      </c>
      <c r="EL20" s="358">
        <f t="shared" si="35"/>
        <v>0</v>
      </c>
      <c r="EM20" s="358">
        <f t="shared" si="36"/>
        <v>300</v>
      </c>
      <c r="EN20" s="358">
        <f t="shared" si="37"/>
        <v>139.28899999999999</v>
      </c>
      <c r="EV20" s="357"/>
      <c r="EY20" s="286" t="s">
        <v>426</v>
      </c>
      <c r="EZ20" s="288" t="s">
        <v>861</v>
      </c>
      <c r="FA20" s="288" t="s">
        <v>453</v>
      </c>
      <c r="FB20" s="288" t="s">
        <v>269</v>
      </c>
      <c r="FC20" s="287">
        <v>0</v>
      </c>
      <c r="FD20" s="287">
        <v>2229513670</v>
      </c>
      <c r="FE20" s="287">
        <v>2299513695</v>
      </c>
      <c r="FF20" s="357">
        <f t="shared" si="39"/>
        <v>0</v>
      </c>
      <c r="FG20" s="357">
        <f t="shared" si="40"/>
        <v>2229513.67</v>
      </c>
      <c r="FH20" s="357">
        <f t="shared" si="41"/>
        <v>2299513.6949999998</v>
      </c>
      <c r="FR20" s="364" t="s">
        <v>426</v>
      </c>
      <c r="FS20" s="280" t="s">
        <v>861</v>
      </c>
      <c r="FT20" s="280" t="s">
        <v>451</v>
      </c>
      <c r="FU20" s="280" t="s">
        <v>452</v>
      </c>
      <c r="FV20" s="357">
        <v>0</v>
      </c>
      <c r="FW20" s="357">
        <v>122016745</v>
      </c>
      <c r="FX20" s="357">
        <v>87042926</v>
      </c>
      <c r="FY20" s="306">
        <f t="shared" si="43"/>
        <v>0</v>
      </c>
      <c r="FZ20" s="306">
        <f t="shared" si="44"/>
        <v>122016.745</v>
      </c>
      <c r="GA20" s="306">
        <f t="shared" si="45"/>
        <v>87042.926000000007</v>
      </c>
      <c r="GD20" s="280" t="s">
        <v>806</v>
      </c>
      <c r="GE20" s="280" t="s">
        <v>807</v>
      </c>
      <c r="GF20" s="280" t="s">
        <v>429</v>
      </c>
      <c r="GG20" s="280" t="s">
        <v>429</v>
      </c>
      <c r="GH20" s="357">
        <v>5467962000</v>
      </c>
      <c r="GI20" s="357">
        <f t="shared" si="46"/>
        <v>5467962</v>
      </c>
      <c r="GK20" s="280" t="s">
        <v>426</v>
      </c>
      <c r="GL20" s="280" t="s">
        <v>861</v>
      </c>
      <c r="GM20" s="280" t="s">
        <v>451</v>
      </c>
      <c r="GN20" s="280" t="s">
        <v>452</v>
      </c>
      <c r="GO20" s="357">
        <v>0</v>
      </c>
      <c r="GP20" s="357">
        <v>122016745</v>
      </c>
      <c r="GQ20" s="357">
        <v>87042926</v>
      </c>
      <c r="GR20" s="357">
        <f t="shared" si="47"/>
        <v>0</v>
      </c>
      <c r="GS20" s="357">
        <f t="shared" si="48"/>
        <v>122016.745</v>
      </c>
      <c r="GT20" s="357">
        <f t="shared" si="49"/>
        <v>87042.926000000007</v>
      </c>
      <c r="GV20" s="365" t="s">
        <v>847</v>
      </c>
      <c r="GW20" s="495" t="s">
        <v>848</v>
      </c>
      <c r="GX20" s="495" t="s">
        <v>429</v>
      </c>
      <c r="GY20" s="495" t="s">
        <v>429</v>
      </c>
      <c r="GZ20" s="366">
        <v>2269318120</v>
      </c>
      <c r="HA20" s="366">
        <f t="shared" si="50"/>
        <v>2269318.12</v>
      </c>
      <c r="HC20" s="280" t="s">
        <v>426</v>
      </c>
      <c r="HD20" s="280" t="s">
        <v>861</v>
      </c>
      <c r="HE20" s="280" t="s">
        <v>475</v>
      </c>
      <c r="HF20" s="280" t="s">
        <v>333</v>
      </c>
      <c r="HG20" s="305">
        <v>0</v>
      </c>
      <c r="HH20" s="305">
        <v>585172589</v>
      </c>
      <c r="HI20" s="305">
        <v>585172589</v>
      </c>
      <c r="HJ20" s="305">
        <f t="shared" si="51"/>
        <v>0</v>
      </c>
      <c r="HK20" s="305">
        <f t="shared" si="52"/>
        <v>585172.58900000004</v>
      </c>
      <c r="HL20" s="305">
        <f t="shared" si="53"/>
        <v>585172.58900000004</v>
      </c>
    </row>
    <row r="21" spans="1:220" ht="15" customHeight="1" x14ac:dyDescent="0.2">
      <c r="A21" s="286" t="s">
        <v>790</v>
      </c>
      <c r="B21" s="288" t="s">
        <v>791</v>
      </c>
      <c r="C21" s="286" t="s">
        <v>429</v>
      </c>
      <c r="D21" s="288" t="s">
        <v>429</v>
      </c>
      <c r="E21" s="287">
        <v>17225780000</v>
      </c>
      <c r="F21" s="287">
        <v>0</v>
      </c>
      <c r="G21" s="287">
        <v>0</v>
      </c>
      <c r="H21" s="287">
        <f t="shared" si="7"/>
        <v>17949262.760000002</v>
      </c>
      <c r="I21" s="287">
        <f t="shared" si="8"/>
        <v>0</v>
      </c>
      <c r="J21" s="287">
        <f t="shared" si="9"/>
        <v>0</v>
      </c>
      <c r="T21" s="395" t="s">
        <v>786</v>
      </c>
      <c r="U21" s="396" t="s">
        <v>787</v>
      </c>
      <c r="V21" s="395" t="s">
        <v>429</v>
      </c>
      <c r="W21" s="396" t="s">
        <v>429</v>
      </c>
      <c r="X21" s="397">
        <v>43586656500</v>
      </c>
      <c r="Y21" s="397">
        <v>0</v>
      </c>
      <c r="Z21" s="397">
        <v>0</v>
      </c>
      <c r="AA21" s="358">
        <f t="shared" si="11"/>
        <v>45417296.072999999</v>
      </c>
      <c r="AB21" s="358">
        <f t="shared" si="12"/>
        <v>0</v>
      </c>
      <c r="AC21" s="358">
        <f t="shared" si="13"/>
        <v>0</v>
      </c>
      <c r="AM21" s="288" t="s">
        <v>432</v>
      </c>
      <c r="AN21" s="288" t="s">
        <v>141</v>
      </c>
      <c r="AO21" s="288" t="s">
        <v>429</v>
      </c>
      <c r="AP21" s="288" t="s">
        <v>429</v>
      </c>
      <c r="AQ21" s="288" t="s">
        <v>516</v>
      </c>
      <c r="AR21" s="398">
        <v>7570484000</v>
      </c>
      <c r="AS21" s="398">
        <v>0</v>
      </c>
      <c r="AT21" s="398">
        <v>0</v>
      </c>
      <c r="AU21" s="398">
        <f t="shared" si="15"/>
        <v>7570484</v>
      </c>
      <c r="AV21" s="398">
        <f t="shared" si="16"/>
        <v>0</v>
      </c>
      <c r="AW21" s="398">
        <f t="shared" si="17"/>
        <v>0</v>
      </c>
      <c r="BF21" s="365" t="s">
        <v>432</v>
      </c>
      <c r="BG21" s="399" t="s">
        <v>141</v>
      </c>
      <c r="BH21" s="286" t="s">
        <v>429</v>
      </c>
      <c r="BI21" s="288" t="s">
        <v>429</v>
      </c>
      <c r="BJ21" s="366">
        <v>7570484000</v>
      </c>
      <c r="BK21" s="366">
        <v>0</v>
      </c>
      <c r="BL21" s="366">
        <v>0</v>
      </c>
      <c r="BM21" s="366">
        <f t="shared" si="19"/>
        <v>7570484</v>
      </c>
      <c r="BN21" s="366">
        <f t="shared" si="20"/>
        <v>0</v>
      </c>
      <c r="BO21" s="366">
        <f t="shared" si="21"/>
        <v>0</v>
      </c>
      <c r="BY21" s="286" t="s">
        <v>860</v>
      </c>
      <c r="BZ21" s="286" t="s">
        <v>51</v>
      </c>
      <c r="CA21" s="286" t="s">
        <v>429</v>
      </c>
      <c r="CB21" s="286" t="s">
        <v>429</v>
      </c>
      <c r="CC21" s="288" t="s">
        <v>516</v>
      </c>
      <c r="CD21" s="287">
        <v>10100</v>
      </c>
      <c r="CE21" s="287">
        <v>0</v>
      </c>
      <c r="CF21" s="287">
        <v>0</v>
      </c>
      <c r="CG21" s="287">
        <f t="shared" si="23"/>
        <v>10.1</v>
      </c>
      <c r="CH21" s="287">
        <f t="shared" si="24"/>
        <v>0</v>
      </c>
      <c r="CI21" s="287">
        <f t="shared" si="25"/>
        <v>0</v>
      </c>
      <c r="CR21" s="288" t="s">
        <v>896</v>
      </c>
      <c r="CS21" s="288" t="s">
        <v>897</v>
      </c>
      <c r="CT21" s="288" t="s">
        <v>429</v>
      </c>
      <c r="CU21" s="288" t="s">
        <v>429</v>
      </c>
      <c r="CV21" s="287">
        <v>464198000</v>
      </c>
      <c r="CW21" s="287">
        <v>0</v>
      </c>
      <c r="CX21" s="287">
        <v>0</v>
      </c>
      <c r="CY21" s="287">
        <f t="shared" si="27"/>
        <v>464198</v>
      </c>
      <c r="CZ21" s="287">
        <f t="shared" si="28"/>
        <v>0</v>
      </c>
      <c r="DA21" s="287">
        <f t="shared" si="29"/>
        <v>0</v>
      </c>
      <c r="DK21" s="286" t="s">
        <v>896</v>
      </c>
      <c r="DL21" s="288" t="s">
        <v>897</v>
      </c>
      <c r="DM21" s="286" t="s">
        <v>429</v>
      </c>
      <c r="DN21" s="288" t="s">
        <v>429</v>
      </c>
      <c r="DO21" s="287">
        <v>464198000</v>
      </c>
      <c r="DP21" s="287">
        <v>0</v>
      </c>
      <c r="DQ21" s="287">
        <v>0</v>
      </c>
      <c r="DR21" s="287">
        <f t="shared" si="31"/>
        <v>464198</v>
      </c>
      <c r="DS21" s="287">
        <f t="shared" si="32"/>
        <v>0</v>
      </c>
      <c r="DT21" s="287">
        <f t="shared" si="33"/>
        <v>0</v>
      </c>
      <c r="EE21" s="286" t="s">
        <v>896</v>
      </c>
      <c r="EF21" s="288" t="s">
        <v>897</v>
      </c>
      <c r="EG21" s="288" t="s">
        <v>429</v>
      </c>
      <c r="EH21" s="288" t="s">
        <v>429</v>
      </c>
      <c r="EI21" s="287">
        <v>464198000</v>
      </c>
      <c r="EJ21" s="287">
        <v>0</v>
      </c>
      <c r="EK21" s="287">
        <v>0</v>
      </c>
      <c r="EL21" s="358">
        <f t="shared" si="35"/>
        <v>464198</v>
      </c>
      <c r="EM21" s="358">
        <f t="shared" si="36"/>
        <v>0</v>
      </c>
      <c r="EN21" s="358">
        <f t="shared" si="37"/>
        <v>0</v>
      </c>
      <c r="EV21" s="357"/>
      <c r="EY21" s="286" t="s">
        <v>896</v>
      </c>
      <c r="EZ21" s="288" t="s">
        <v>897</v>
      </c>
      <c r="FA21" s="288" t="s">
        <v>429</v>
      </c>
      <c r="FB21" s="288" t="s">
        <v>429</v>
      </c>
      <c r="FC21" s="287">
        <v>464198000</v>
      </c>
      <c r="FD21" s="287">
        <v>0</v>
      </c>
      <c r="FE21" s="287">
        <v>0</v>
      </c>
      <c r="FF21" s="357">
        <f t="shared" si="39"/>
        <v>464198</v>
      </c>
      <c r="FG21" s="357">
        <f t="shared" si="40"/>
        <v>0</v>
      </c>
      <c r="FH21" s="357">
        <f t="shared" si="41"/>
        <v>0</v>
      </c>
      <c r="FR21" s="364" t="s">
        <v>896</v>
      </c>
      <c r="FS21" s="280" t="s">
        <v>897</v>
      </c>
      <c r="FT21" s="280" t="s">
        <v>429</v>
      </c>
      <c r="FU21" s="280" t="s">
        <v>429</v>
      </c>
      <c r="FV21" s="357">
        <v>464198000</v>
      </c>
      <c r="FW21" s="357">
        <v>0</v>
      </c>
      <c r="FX21" s="357">
        <v>0</v>
      </c>
      <c r="FY21" s="306">
        <f t="shared" si="43"/>
        <v>464198</v>
      </c>
      <c r="FZ21" s="306">
        <f t="shared" si="44"/>
        <v>0</v>
      </c>
      <c r="GA21" s="306">
        <f t="shared" si="45"/>
        <v>0</v>
      </c>
      <c r="GD21" s="280" t="s">
        <v>433</v>
      </c>
      <c r="GE21" s="280" t="s">
        <v>449</v>
      </c>
      <c r="GF21" s="280" t="s">
        <v>429</v>
      </c>
      <c r="GG21" s="280" t="s">
        <v>429</v>
      </c>
      <c r="GH21" s="357">
        <v>40579013</v>
      </c>
      <c r="GI21" s="357">
        <f t="shared" si="46"/>
        <v>40579.012999999999</v>
      </c>
      <c r="GK21" s="280" t="s">
        <v>896</v>
      </c>
      <c r="GL21" s="280" t="s">
        <v>897</v>
      </c>
      <c r="GM21" s="280" t="s">
        <v>429</v>
      </c>
      <c r="GN21" s="280" t="s">
        <v>429</v>
      </c>
      <c r="GO21" s="357">
        <v>314198000</v>
      </c>
      <c r="GP21" s="357">
        <v>0</v>
      </c>
      <c r="GQ21" s="357">
        <v>0</v>
      </c>
      <c r="GR21" s="357">
        <f t="shared" si="47"/>
        <v>314198</v>
      </c>
      <c r="GS21" s="357">
        <f t="shared" si="48"/>
        <v>0</v>
      </c>
      <c r="GT21" s="357">
        <f t="shared" si="49"/>
        <v>0</v>
      </c>
      <c r="HA21" s="368"/>
      <c r="HC21" s="280" t="s">
        <v>896</v>
      </c>
      <c r="HD21" s="280" t="s">
        <v>897</v>
      </c>
      <c r="HE21" s="280" t="s">
        <v>429</v>
      </c>
      <c r="HF21" s="280" t="s">
        <v>429</v>
      </c>
      <c r="HG21" s="305">
        <v>464198000</v>
      </c>
      <c r="HH21" s="305">
        <v>0</v>
      </c>
      <c r="HI21" s="305">
        <v>0</v>
      </c>
      <c r="HJ21" s="305">
        <f t="shared" si="51"/>
        <v>464198</v>
      </c>
      <c r="HK21" s="305">
        <f t="shared" si="52"/>
        <v>0</v>
      </c>
      <c r="HL21" s="305">
        <f t="shared" si="53"/>
        <v>0</v>
      </c>
    </row>
    <row r="22" spans="1:220" ht="15" customHeight="1" x14ac:dyDescent="0.2">
      <c r="A22" s="286" t="s">
        <v>790</v>
      </c>
      <c r="B22" s="288" t="s">
        <v>791</v>
      </c>
      <c r="C22" s="286" t="s">
        <v>429</v>
      </c>
      <c r="D22" s="288" t="s">
        <v>429</v>
      </c>
      <c r="E22" s="287">
        <v>0</v>
      </c>
      <c r="F22" s="287">
        <v>10553181989</v>
      </c>
      <c r="G22" s="287">
        <v>5276591011</v>
      </c>
      <c r="H22" s="287">
        <f t="shared" si="7"/>
        <v>0</v>
      </c>
      <c r="I22" s="287">
        <f t="shared" si="8"/>
        <v>10996415.632538</v>
      </c>
      <c r="J22" s="287">
        <f t="shared" si="9"/>
        <v>5498207.8334619999</v>
      </c>
      <c r="T22" s="395" t="s">
        <v>788</v>
      </c>
      <c r="U22" s="396" t="s">
        <v>789</v>
      </c>
      <c r="V22" s="395" t="s">
        <v>429</v>
      </c>
      <c r="W22" s="396" t="s">
        <v>429</v>
      </c>
      <c r="X22" s="397">
        <v>31528885500</v>
      </c>
      <c r="Y22" s="397">
        <v>0</v>
      </c>
      <c r="Z22" s="397">
        <v>0</v>
      </c>
      <c r="AA22" s="358">
        <f t="shared" si="11"/>
        <v>32853098.691</v>
      </c>
      <c r="AB22" s="358">
        <f t="shared" si="12"/>
        <v>0</v>
      </c>
      <c r="AC22" s="358">
        <f t="shared" si="13"/>
        <v>0</v>
      </c>
      <c r="AM22" s="288" t="s">
        <v>786</v>
      </c>
      <c r="AN22" s="288" t="s">
        <v>787</v>
      </c>
      <c r="AO22" s="288" t="s">
        <v>429</v>
      </c>
      <c r="AP22" s="288" t="s">
        <v>429</v>
      </c>
      <c r="AQ22" s="288" t="s">
        <v>516</v>
      </c>
      <c r="AR22" s="398">
        <v>43586656500</v>
      </c>
      <c r="AS22" s="398">
        <v>0</v>
      </c>
      <c r="AT22" s="398">
        <v>0</v>
      </c>
      <c r="AU22" s="398">
        <f t="shared" si="15"/>
        <v>43586656.5</v>
      </c>
      <c r="AV22" s="398">
        <f t="shared" si="16"/>
        <v>0</v>
      </c>
      <c r="AW22" s="398">
        <f t="shared" si="17"/>
        <v>0</v>
      </c>
      <c r="BF22" s="365" t="s">
        <v>786</v>
      </c>
      <c r="BG22" s="399" t="s">
        <v>787</v>
      </c>
      <c r="BH22" s="286" t="s">
        <v>429</v>
      </c>
      <c r="BI22" s="288" t="s">
        <v>429</v>
      </c>
      <c r="BJ22" s="366">
        <v>33586656500</v>
      </c>
      <c r="BK22" s="366">
        <v>0</v>
      </c>
      <c r="BL22" s="366">
        <v>0</v>
      </c>
      <c r="BM22" s="366">
        <f t="shared" si="19"/>
        <v>33586656.5</v>
      </c>
      <c r="BN22" s="366">
        <f t="shared" si="20"/>
        <v>0</v>
      </c>
      <c r="BO22" s="366">
        <f t="shared" si="21"/>
        <v>0</v>
      </c>
      <c r="BY22" s="286" t="s">
        <v>432</v>
      </c>
      <c r="BZ22" s="286" t="s">
        <v>141</v>
      </c>
      <c r="CA22" s="286" t="s">
        <v>429</v>
      </c>
      <c r="CB22" s="286" t="s">
        <v>429</v>
      </c>
      <c r="CC22" s="288" t="s">
        <v>516</v>
      </c>
      <c r="CD22" s="287">
        <v>7570484000</v>
      </c>
      <c r="CE22" s="287">
        <v>0</v>
      </c>
      <c r="CF22" s="287">
        <v>0</v>
      </c>
      <c r="CG22" s="287">
        <f t="shared" si="23"/>
        <v>7570484</v>
      </c>
      <c r="CH22" s="287">
        <f t="shared" si="24"/>
        <v>0</v>
      </c>
      <c r="CI22" s="287">
        <f t="shared" si="25"/>
        <v>0</v>
      </c>
      <c r="CR22" s="288" t="s">
        <v>896</v>
      </c>
      <c r="CS22" s="288" t="s">
        <v>897</v>
      </c>
      <c r="CT22" s="288" t="s">
        <v>429</v>
      </c>
      <c r="CU22" s="288" t="s">
        <v>429</v>
      </c>
      <c r="CV22" s="287">
        <v>0</v>
      </c>
      <c r="CW22" s="287">
        <v>212943332</v>
      </c>
      <c r="CX22" s="287">
        <v>48670000</v>
      </c>
      <c r="CY22" s="287">
        <f t="shared" si="27"/>
        <v>0</v>
      </c>
      <c r="CZ22" s="287">
        <f t="shared" si="28"/>
        <v>212943.33199999999</v>
      </c>
      <c r="DA22" s="287">
        <f t="shared" si="29"/>
        <v>48670</v>
      </c>
      <c r="DK22" s="286" t="s">
        <v>896</v>
      </c>
      <c r="DL22" s="288" t="s">
        <v>897</v>
      </c>
      <c r="DM22" s="286" t="s">
        <v>429</v>
      </c>
      <c r="DN22" s="288" t="s">
        <v>429</v>
      </c>
      <c r="DO22" s="287">
        <v>0</v>
      </c>
      <c r="DP22" s="287">
        <v>308943334</v>
      </c>
      <c r="DQ22" s="287">
        <v>112493334</v>
      </c>
      <c r="DR22" s="287">
        <f t="shared" si="31"/>
        <v>0</v>
      </c>
      <c r="DS22" s="287">
        <f t="shared" si="32"/>
        <v>308943.33399999997</v>
      </c>
      <c r="DT22" s="287">
        <f t="shared" si="33"/>
        <v>112493.334</v>
      </c>
      <c r="EE22" s="286" t="s">
        <v>896</v>
      </c>
      <c r="EF22" s="288" t="s">
        <v>897</v>
      </c>
      <c r="EG22" s="288" t="s">
        <v>429</v>
      </c>
      <c r="EH22" s="288" t="s">
        <v>429</v>
      </c>
      <c r="EI22" s="287">
        <v>0</v>
      </c>
      <c r="EJ22" s="287">
        <v>308957334</v>
      </c>
      <c r="EK22" s="287">
        <v>150507334</v>
      </c>
      <c r="EL22" s="358">
        <f t="shared" si="35"/>
        <v>0</v>
      </c>
      <c r="EM22" s="358">
        <f t="shared" si="36"/>
        <v>308957.33399999997</v>
      </c>
      <c r="EN22" s="358">
        <f t="shared" si="37"/>
        <v>150507.334</v>
      </c>
      <c r="EV22" s="357"/>
      <c r="EY22" s="286" t="s">
        <v>896</v>
      </c>
      <c r="EZ22" s="288" t="s">
        <v>897</v>
      </c>
      <c r="FA22" s="288" t="s">
        <v>429</v>
      </c>
      <c r="FB22" s="288" t="s">
        <v>429</v>
      </c>
      <c r="FC22" s="287">
        <v>0</v>
      </c>
      <c r="FD22" s="287">
        <v>150507334</v>
      </c>
      <c r="FE22" s="287">
        <v>308957334</v>
      </c>
      <c r="FF22" s="357">
        <f t="shared" si="39"/>
        <v>0</v>
      </c>
      <c r="FG22" s="357">
        <f t="shared" si="40"/>
        <v>150507.334</v>
      </c>
      <c r="FH22" s="357">
        <f t="shared" si="41"/>
        <v>308957.33399999997</v>
      </c>
      <c r="FR22" s="364" t="s">
        <v>896</v>
      </c>
      <c r="FS22" s="280" t="s">
        <v>897</v>
      </c>
      <c r="FT22" s="280" t="s">
        <v>429</v>
      </c>
      <c r="FU22" s="280" t="s">
        <v>429</v>
      </c>
      <c r="FV22" s="357">
        <v>0</v>
      </c>
      <c r="FW22" s="357">
        <v>311028498</v>
      </c>
      <c r="FX22" s="357">
        <v>227361831</v>
      </c>
      <c r="FY22" s="306">
        <f t="shared" si="43"/>
        <v>0</v>
      </c>
      <c r="FZ22" s="306">
        <f t="shared" si="44"/>
        <v>311028.49800000002</v>
      </c>
      <c r="GA22" s="306">
        <f t="shared" si="45"/>
        <v>227361.83100000001</v>
      </c>
      <c r="GI22" s="306">
        <f>SUM(GI3:GI21)</f>
        <v>24556395.323000003</v>
      </c>
      <c r="GK22" s="280" t="s">
        <v>896</v>
      </c>
      <c r="GL22" s="280" t="s">
        <v>897</v>
      </c>
      <c r="GM22" s="280" t="s">
        <v>429</v>
      </c>
      <c r="GN22" s="280" t="s">
        <v>429</v>
      </c>
      <c r="GO22" s="357">
        <v>0</v>
      </c>
      <c r="GP22" s="357">
        <v>311140582</v>
      </c>
      <c r="GQ22" s="357">
        <v>269140582</v>
      </c>
      <c r="GR22" s="357">
        <f t="shared" si="47"/>
        <v>0</v>
      </c>
      <c r="GS22" s="357">
        <f t="shared" si="48"/>
        <v>311140.58199999999</v>
      </c>
      <c r="GT22" s="357">
        <f t="shared" si="49"/>
        <v>269140.58199999999</v>
      </c>
      <c r="HC22" s="280" t="s">
        <v>896</v>
      </c>
      <c r="HD22" s="280" t="s">
        <v>897</v>
      </c>
      <c r="HE22" s="280" t="s">
        <v>429</v>
      </c>
      <c r="HF22" s="280" t="s">
        <v>429</v>
      </c>
      <c r="HG22" s="305">
        <v>0</v>
      </c>
      <c r="HH22" s="305">
        <v>307140582</v>
      </c>
      <c r="HI22" s="305">
        <v>311140582</v>
      </c>
      <c r="HJ22" s="305">
        <f t="shared" si="51"/>
        <v>0</v>
      </c>
      <c r="HK22" s="305">
        <f t="shared" si="52"/>
        <v>307140.58199999999</v>
      </c>
      <c r="HL22" s="305">
        <f t="shared" si="53"/>
        <v>311140.58199999999</v>
      </c>
    </row>
    <row r="23" spans="1:220" ht="15" customHeight="1" x14ac:dyDescent="0.2">
      <c r="A23" s="286" t="s">
        <v>792</v>
      </c>
      <c r="B23" s="288" t="s">
        <v>793</v>
      </c>
      <c r="C23" s="286" t="s">
        <v>429</v>
      </c>
      <c r="D23" s="288" t="s">
        <v>429</v>
      </c>
      <c r="E23" s="287">
        <v>2651011000</v>
      </c>
      <c r="F23" s="287">
        <v>0</v>
      </c>
      <c r="G23" s="287">
        <v>0</v>
      </c>
      <c r="H23" s="287">
        <f t="shared" si="7"/>
        <v>2762353.4620000003</v>
      </c>
      <c r="I23" s="287">
        <f t="shared" si="8"/>
        <v>0</v>
      </c>
      <c r="J23" s="287">
        <f t="shared" si="9"/>
        <v>0</v>
      </c>
      <c r="T23" s="395" t="s">
        <v>788</v>
      </c>
      <c r="U23" s="396" t="s">
        <v>789</v>
      </c>
      <c r="V23" s="395" t="s">
        <v>429</v>
      </c>
      <c r="W23" s="396" t="s">
        <v>429</v>
      </c>
      <c r="X23" s="397">
        <v>0</v>
      </c>
      <c r="Y23" s="397">
        <v>17229334397</v>
      </c>
      <c r="Z23" s="397">
        <v>17106715809</v>
      </c>
      <c r="AA23" s="358">
        <f t="shared" si="11"/>
        <v>0</v>
      </c>
      <c r="AB23" s="358">
        <f t="shared" si="12"/>
        <v>17952966.441674002</v>
      </c>
      <c r="AC23" s="358">
        <f t="shared" si="13"/>
        <v>17825197.872978002</v>
      </c>
      <c r="AM23" s="288" t="s">
        <v>786</v>
      </c>
      <c r="AN23" s="288" t="s">
        <v>787</v>
      </c>
      <c r="AO23" s="288" t="s">
        <v>429</v>
      </c>
      <c r="AP23" s="288" t="s">
        <v>429</v>
      </c>
      <c r="AQ23" s="288" t="s">
        <v>516</v>
      </c>
      <c r="AR23" s="398">
        <v>0</v>
      </c>
      <c r="AS23" s="398">
        <v>9999958</v>
      </c>
      <c r="AT23" s="398">
        <v>9999958</v>
      </c>
      <c r="AU23" s="398">
        <f t="shared" si="15"/>
        <v>0</v>
      </c>
      <c r="AV23" s="398">
        <f t="shared" si="16"/>
        <v>9999.9580000000005</v>
      </c>
      <c r="AW23" s="398">
        <f t="shared" si="17"/>
        <v>9999.9580000000005</v>
      </c>
      <c r="BF23" s="365" t="s">
        <v>786</v>
      </c>
      <c r="BG23" s="399" t="s">
        <v>787</v>
      </c>
      <c r="BH23" s="286" t="s">
        <v>429</v>
      </c>
      <c r="BI23" s="288" t="s">
        <v>429</v>
      </c>
      <c r="BJ23" s="366">
        <v>0</v>
      </c>
      <c r="BK23" s="366">
        <v>135929688</v>
      </c>
      <c r="BL23" s="366">
        <v>135929688</v>
      </c>
      <c r="BM23" s="366">
        <f t="shared" si="19"/>
        <v>0</v>
      </c>
      <c r="BN23" s="366">
        <f t="shared" si="20"/>
        <v>135929.68799999999</v>
      </c>
      <c r="BO23" s="366">
        <f t="shared" si="21"/>
        <v>135929.68799999999</v>
      </c>
      <c r="BY23" s="286" t="s">
        <v>432</v>
      </c>
      <c r="BZ23" s="286" t="s">
        <v>141</v>
      </c>
      <c r="CA23" s="286" t="s">
        <v>429</v>
      </c>
      <c r="CB23" s="286" t="s">
        <v>429</v>
      </c>
      <c r="CC23" s="288" t="s">
        <v>516</v>
      </c>
      <c r="CD23" s="287">
        <v>0</v>
      </c>
      <c r="CE23" s="287">
        <v>4381701258</v>
      </c>
      <c r="CF23" s="287">
        <v>2771721054</v>
      </c>
      <c r="CG23" s="287">
        <f t="shared" si="23"/>
        <v>0</v>
      </c>
      <c r="CH23" s="287">
        <f t="shared" si="24"/>
        <v>4381701.2580000004</v>
      </c>
      <c r="CI23" s="287">
        <f t="shared" si="25"/>
        <v>2771721.054</v>
      </c>
      <c r="CR23" s="288" t="s">
        <v>860</v>
      </c>
      <c r="CS23" s="288" t="s">
        <v>51</v>
      </c>
      <c r="CT23" s="288" t="s">
        <v>429</v>
      </c>
      <c r="CU23" s="288" t="s">
        <v>429</v>
      </c>
      <c r="CV23" s="287">
        <v>10100</v>
      </c>
      <c r="CW23" s="287">
        <v>0</v>
      </c>
      <c r="CX23" s="287">
        <v>0</v>
      </c>
      <c r="CY23" s="287">
        <f t="shared" si="27"/>
        <v>10.1</v>
      </c>
      <c r="CZ23" s="287">
        <f t="shared" si="28"/>
        <v>0</v>
      </c>
      <c r="DA23" s="287">
        <f t="shared" si="29"/>
        <v>0</v>
      </c>
      <c r="DK23" s="286" t="s">
        <v>860</v>
      </c>
      <c r="DL23" s="288" t="s">
        <v>51</v>
      </c>
      <c r="DM23" s="286" t="s">
        <v>429</v>
      </c>
      <c r="DN23" s="288" t="s">
        <v>429</v>
      </c>
      <c r="DO23" s="287">
        <v>10100</v>
      </c>
      <c r="DP23" s="287">
        <v>0</v>
      </c>
      <c r="DQ23" s="287">
        <v>0</v>
      </c>
      <c r="DR23" s="287">
        <f t="shared" si="31"/>
        <v>10.1</v>
      </c>
      <c r="DS23" s="287">
        <f t="shared" si="32"/>
        <v>0</v>
      </c>
      <c r="DT23" s="287">
        <f t="shared" si="33"/>
        <v>0</v>
      </c>
      <c r="EE23" s="286" t="s">
        <v>860</v>
      </c>
      <c r="EF23" s="288" t="s">
        <v>51</v>
      </c>
      <c r="EG23" s="288" t="s">
        <v>429</v>
      </c>
      <c r="EH23" s="288" t="s">
        <v>429</v>
      </c>
      <c r="EI23" s="287">
        <v>10100</v>
      </c>
      <c r="EJ23" s="287">
        <v>0</v>
      </c>
      <c r="EK23" s="287">
        <v>0</v>
      </c>
      <c r="EL23" s="358">
        <f t="shared" si="35"/>
        <v>10.1</v>
      </c>
      <c r="EM23" s="358">
        <f t="shared" si="36"/>
        <v>0</v>
      </c>
      <c r="EN23" s="358">
        <f t="shared" si="37"/>
        <v>0</v>
      </c>
      <c r="EV23" s="357"/>
      <c r="EY23" s="286" t="s">
        <v>860</v>
      </c>
      <c r="EZ23" s="288" t="s">
        <v>51</v>
      </c>
      <c r="FA23" s="288" t="s">
        <v>429</v>
      </c>
      <c r="FB23" s="288" t="s">
        <v>429</v>
      </c>
      <c r="FC23" s="287">
        <v>10100</v>
      </c>
      <c r="FD23" s="287">
        <v>0</v>
      </c>
      <c r="FE23" s="287">
        <v>0</v>
      </c>
      <c r="FF23" s="357">
        <f t="shared" si="39"/>
        <v>10.1</v>
      </c>
      <c r="FG23" s="357">
        <f t="shared" si="40"/>
        <v>0</v>
      </c>
      <c r="FH23" s="357">
        <f t="shared" si="41"/>
        <v>0</v>
      </c>
      <c r="FR23" s="364" t="s">
        <v>860</v>
      </c>
      <c r="FS23" s="280" t="s">
        <v>51</v>
      </c>
      <c r="FT23" s="280" t="s">
        <v>429</v>
      </c>
      <c r="FU23" s="280" t="s">
        <v>429</v>
      </c>
      <c r="FV23" s="357">
        <v>9038425100</v>
      </c>
      <c r="FW23" s="357">
        <v>0</v>
      </c>
      <c r="FX23" s="357">
        <v>0</v>
      </c>
      <c r="FY23" s="306">
        <f t="shared" si="43"/>
        <v>9038425.0999999996</v>
      </c>
      <c r="FZ23" s="306">
        <f t="shared" si="44"/>
        <v>0</v>
      </c>
      <c r="GA23" s="306">
        <f t="shared" si="45"/>
        <v>0</v>
      </c>
      <c r="GK23" s="280" t="s">
        <v>860</v>
      </c>
      <c r="GL23" s="280" t="s">
        <v>51</v>
      </c>
      <c r="GM23" s="280" t="s">
        <v>429</v>
      </c>
      <c r="GN23" s="280" t="s">
        <v>429</v>
      </c>
      <c r="GO23" s="357">
        <v>9038425100</v>
      </c>
      <c r="GP23" s="357">
        <v>0</v>
      </c>
      <c r="GQ23" s="357">
        <v>0</v>
      </c>
      <c r="GR23" s="357">
        <f t="shared" si="47"/>
        <v>9038425.0999999996</v>
      </c>
      <c r="GS23" s="357">
        <f t="shared" si="48"/>
        <v>0</v>
      </c>
      <c r="GT23" s="357">
        <f t="shared" si="49"/>
        <v>0</v>
      </c>
      <c r="HC23" s="280" t="s">
        <v>860</v>
      </c>
      <c r="HD23" s="280" t="s">
        <v>51</v>
      </c>
      <c r="HE23" s="280" t="s">
        <v>429</v>
      </c>
      <c r="HF23" s="280" t="s">
        <v>429</v>
      </c>
      <c r="HG23" s="305">
        <v>9038425100</v>
      </c>
      <c r="HH23" s="305">
        <v>0</v>
      </c>
      <c r="HI23" s="305">
        <v>0</v>
      </c>
      <c r="HJ23" s="305">
        <f t="shared" si="51"/>
        <v>9038425.0999999996</v>
      </c>
      <c r="HK23" s="305">
        <f t="shared" si="52"/>
        <v>0</v>
      </c>
      <c r="HL23" s="305">
        <f t="shared" si="53"/>
        <v>0</v>
      </c>
    </row>
    <row r="24" spans="1:220" ht="15" customHeight="1" x14ac:dyDescent="0.2">
      <c r="A24" s="286" t="s">
        <v>794</v>
      </c>
      <c r="B24" s="288" t="s">
        <v>795</v>
      </c>
      <c r="C24" s="286" t="s">
        <v>429</v>
      </c>
      <c r="D24" s="288" t="s">
        <v>429</v>
      </c>
      <c r="E24" s="287">
        <v>7099380194</v>
      </c>
      <c r="F24" s="287">
        <v>0</v>
      </c>
      <c r="G24" s="287">
        <v>0</v>
      </c>
      <c r="H24" s="287">
        <f t="shared" si="7"/>
        <v>7397554.1621480007</v>
      </c>
      <c r="I24" s="287">
        <f t="shared" si="8"/>
        <v>0</v>
      </c>
      <c r="J24" s="287">
        <f t="shared" si="9"/>
        <v>0</v>
      </c>
      <c r="T24" s="395" t="s">
        <v>790</v>
      </c>
      <c r="U24" s="396" t="s">
        <v>791</v>
      </c>
      <c r="V24" s="395" t="s">
        <v>429</v>
      </c>
      <c r="W24" s="396" t="s">
        <v>429</v>
      </c>
      <c r="X24" s="397">
        <v>17225780000</v>
      </c>
      <c r="Y24" s="397">
        <v>0</v>
      </c>
      <c r="Z24" s="397">
        <v>0</v>
      </c>
      <c r="AA24" s="358">
        <f t="shared" si="11"/>
        <v>17949262.760000002</v>
      </c>
      <c r="AB24" s="358">
        <f t="shared" si="12"/>
        <v>0</v>
      </c>
      <c r="AC24" s="358">
        <f t="shared" si="13"/>
        <v>0</v>
      </c>
      <c r="AM24" s="288" t="s">
        <v>788</v>
      </c>
      <c r="AN24" s="288" t="s">
        <v>789</v>
      </c>
      <c r="AO24" s="288" t="s">
        <v>429</v>
      </c>
      <c r="AP24" s="288" t="s">
        <v>429</v>
      </c>
      <c r="AQ24" s="288" t="s">
        <v>516</v>
      </c>
      <c r="AR24" s="398">
        <v>33628885500</v>
      </c>
      <c r="AS24" s="398">
        <v>0</v>
      </c>
      <c r="AT24" s="398">
        <v>0</v>
      </c>
      <c r="AU24" s="398">
        <f t="shared" si="15"/>
        <v>33628885.5</v>
      </c>
      <c r="AV24" s="398">
        <f t="shared" si="16"/>
        <v>0</v>
      </c>
      <c r="AW24" s="398">
        <f t="shared" si="17"/>
        <v>0</v>
      </c>
      <c r="BF24" s="365" t="s">
        <v>788</v>
      </c>
      <c r="BG24" s="399" t="s">
        <v>789</v>
      </c>
      <c r="BH24" s="286" t="s">
        <v>429</v>
      </c>
      <c r="BI24" s="288" t="s">
        <v>429</v>
      </c>
      <c r="BJ24" s="366">
        <v>43628885500</v>
      </c>
      <c r="BK24" s="366">
        <v>0</v>
      </c>
      <c r="BL24" s="366">
        <v>0</v>
      </c>
      <c r="BM24" s="366">
        <f t="shared" si="19"/>
        <v>43628885.5</v>
      </c>
      <c r="BN24" s="366">
        <f t="shared" si="20"/>
        <v>0</v>
      </c>
      <c r="BO24" s="366">
        <f t="shared" si="21"/>
        <v>0</v>
      </c>
      <c r="BY24" s="286" t="s">
        <v>786</v>
      </c>
      <c r="BZ24" s="286" t="s">
        <v>787</v>
      </c>
      <c r="CA24" s="286" t="s">
        <v>429</v>
      </c>
      <c r="CB24" s="286" t="s">
        <v>429</v>
      </c>
      <c r="CC24" s="288" t="s">
        <v>516</v>
      </c>
      <c r="CD24" s="287">
        <v>33586656500</v>
      </c>
      <c r="CE24" s="287">
        <v>0</v>
      </c>
      <c r="CF24" s="287">
        <v>0</v>
      </c>
      <c r="CG24" s="287">
        <f t="shared" si="23"/>
        <v>33586656.5</v>
      </c>
      <c r="CH24" s="287">
        <f t="shared" si="24"/>
        <v>0</v>
      </c>
      <c r="CI24" s="287">
        <f t="shared" si="25"/>
        <v>0</v>
      </c>
      <c r="CR24" s="288" t="s">
        <v>432</v>
      </c>
      <c r="CS24" s="288" t="s">
        <v>141</v>
      </c>
      <c r="CT24" s="288" t="s">
        <v>429</v>
      </c>
      <c r="CU24" s="288" t="s">
        <v>429</v>
      </c>
      <c r="CV24" s="287">
        <v>7570484000</v>
      </c>
      <c r="CW24" s="287">
        <v>0</v>
      </c>
      <c r="CX24" s="287">
        <v>0</v>
      </c>
      <c r="CY24" s="287">
        <f t="shared" si="27"/>
        <v>7570484</v>
      </c>
      <c r="CZ24" s="287">
        <f t="shared" si="28"/>
        <v>0</v>
      </c>
      <c r="DA24" s="287">
        <f t="shared" si="29"/>
        <v>0</v>
      </c>
      <c r="DK24" s="286" t="s">
        <v>432</v>
      </c>
      <c r="DL24" s="288" t="s">
        <v>141</v>
      </c>
      <c r="DM24" s="286" t="s">
        <v>429</v>
      </c>
      <c r="DN24" s="288" t="s">
        <v>429</v>
      </c>
      <c r="DO24" s="287">
        <v>7570484000</v>
      </c>
      <c r="DP24" s="287">
        <v>0</v>
      </c>
      <c r="DQ24" s="287">
        <v>0</v>
      </c>
      <c r="DR24" s="287">
        <f t="shared" si="31"/>
        <v>7570484</v>
      </c>
      <c r="DS24" s="287">
        <f t="shared" si="32"/>
        <v>0</v>
      </c>
      <c r="DT24" s="287">
        <f t="shared" si="33"/>
        <v>0</v>
      </c>
      <c r="EE24" s="286" t="s">
        <v>432</v>
      </c>
      <c r="EF24" s="288" t="s">
        <v>141</v>
      </c>
      <c r="EG24" s="288" t="s">
        <v>429</v>
      </c>
      <c r="EH24" s="288" t="s">
        <v>429</v>
      </c>
      <c r="EI24" s="287">
        <v>7570484000</v>
      </c>
      <c r="EJ24" s="287">
        <v>0</v>
      </c>
      <c r="EK24" s="287">
        <v>0</v>
      </c>
      <c r="EL24" s="358">
        <f t="shared" si="35"/>
        <v>7570484</v>
      </c>
      <c r="EM24" s="358">
        <f t="shared" si="36"/>
        <v>0</v>
      </c>
      <c r="EN24" s="358">
        <f t="shared" si="37"/>
        <v>0</v>
      </c>
      <c r="EV24" s="357"/>
      <c r="EY24" s="286" t="s">
        <v>432</v>
      </c>
      <c r="EZ24" s="288" t="s">
        <v>141</v>
      </c>
      <c r="FA24" s="288" t="s">
        <v>429</v>
      </c>
      <c r="FB24" s="288" t="s">
        <v>429</v>
      </c>
      <c r="FC24" s="287">
        <v>7570484000</v>
      </c>
      <c r="FD24" s="287">
        <v>0</v>
      </c>
      <c r="FE24" s="287">
        <v>0</v>
      </c>
      <c r="FF24" s="357">
        <f t="shared" si="39"/>
        <v>7570484</v>
      </c>
      <c r="FG24" s="357">
        <f t="shared" si="40"/>
        <v>0</v>
      </c>
      <c r="FH24" s="357">
        <f t="shared" si="41"/>
        <v>0</v>
      </c>
      <c r="FR24" s="364" t="s">
        <v>432</v>
      </c>
      <c r="FS24" s="280" t="s">
        <v>141</v>
      </c>
      <c r="FT24" s="280" t="s">
        <v>429</v>
      </c>
      <c r="FU24" s="280" t="s">
        <v>429</v>
      </c>
      <c r="FV24" s="357">
        <v>7570484000</v>
      </c>
      <c r="FW24" s="357">
        <v>0</v>
      </c>
      <c r="FX24" s="357">
        <v>0</v>
      </c>
      <c r="FY24" s="306">
        <f t="shared" si="43"/>
        <v>7570484</v>
      </c>
      <c r="FZ24" s="306">
        <f t="shared" si="44"/>
        <v>0</v>
      </c>
      <c r="GA24" s="306">
        <f t="shared" si="45"/>
        <v>0</v>
      </c>
      <c r="GK24" s="280" t="s">
        <v>860</v>
      </c>
      <c r="GL24" s="280" t="s">
        <v>51</v>
      </c>
      <c r="GM24" s="280" t="s">
        <v>429</v>
      </c>
      <c r="GN24" s="280" t="s">
        <v>429</v>
      </c>
      <c r="GO24" s="357">
        <v>0</v>
      </c>
      <c r="GP24" s="357">
        <v>5814755989</v>
      </c>
      <c r="GQ24" s="357">
        <v>5814755989</v>
      </c>
      <c r="GR24" s="357">
        <f t="shared" si="47"/>
        <v>0</v>
      </c>
      <c r="GS24" s="357">
        <f t="shared" si="48"/>
        <v>5814755.9890000001</v>
      </c>
      <c r="GT24" s="357">
        <f t="shared" si="49"/>
        <v>5814755.9890000001</v>
      </c>
      <c r="HC24" s="280" t="s">
        <v>860</v>
      </c>
      <c r="HD24" s="280" t="s">
        <v>51</v>
      </c>
      <c r="HE24" s="280" t="s">
        <v>429</v>
      </c>
      <c r="HF24" s="280" t="s">
        <v>429</v>
      </c>
      <c r="HG24" s="305">
        <v>0</v>
      </c>
      <c r="HH24" s="305">
        <v>6379980274</v>
      </c>
      <c r="HI24" s="305">
        <v>6379980274</v>
      </c>
      <c r="HJ24" s="305">
        <f t="shared" si="51"/>
        <v>0</v>
      </c>
      <c r="HK24" s="305">
        <f t="shared" si="52"/>
        <v>6379980.2740000002</v>
      </c>
      <c r="HL24" s="305">
        <f t="shared" si="53"/>
        <v>6379980.2740000002</v>
      </c>
    </row>
    <row r="25" spans="1:220" ht="15" customHeight="1" x14ac:dyDescent="0.2">
      <c r="A25" s="286" t="s">
        <v>794</v>
      </c>
      <c r="B25" s="288" t="s">
        <v>795</v>
      </c>
      <c r="C25" s="286" t="s">
        <v>429</v>
      </c>
      <c r="D25" s="288" t="s">
        <v>429</v>
      </c>
      <c r="E25" s="287">
        <v>0</v>
      </c>
      <c r="F25" s="287">
        <v>22987500</v>
      </c>
      <c r="G25" s="287">
        <v>22987500</v>
      </c>
      <c r="H25" s="287">
        <f t="shared" si="7"/>
        <v>0</v>
      </c>
      <c r="I25" s="287">
        <f t="shared" si="8"/>
        <v>23952.975000000002</v>
      </c>
      <c r="J25" s="287">
        <f t="shared" si="9"/>
        <v>23952.975000000002</v>
      </c>
      <c r="T25" s="395" t="s">
        <v>790</v>
      </c>
      <c r="U25" s="396" t="s">
        <v>791</v>
      </c>
      <c r="V25" s="395" t="s">
        <v>429</v>
      </c>
      <c r="W25" s="396" t="s">
        <v>429</v>
      </c>
      <c r="X25" s="397">
        <v>0</v>
      </c>
      <c r="Y25" s="397">
        <v>10553181989</v>
      </c>
      <c r="Z25" s="397">
        <v>5276591011</v>
      </c>
      <c r="AA25" s="358">
        <f t="shared" si="11"/>
        <v>0</v>
      </c>
      <c r="AB25" s="358">
        <f t="shared" si="12"/>
        <v>10996415.632538</v>
      </c>
      <c r="AC25" s="358">
        <f t="shared" si="13"/>
        <v>5498207.8334619999</v>
      </c>
      <c r="AM25" s="288" t="s">
        <v>788</v>
      </c>
      <c r="AN25" s="288" t="s">
        <v>789</v>
      </c>
      <c r="AO25" s="288" t="s">
        <v>429</v>
      </c>
      <c r="AP25" s="288" t="s">
        <v>429</v>
      </c>
      <c r="AQ25" s="288" t="s">
        <v>516</v>
      </c>
      <c r="AR25" s="398">
        <v>0</v>
      </c>
      <c r="AS25" s="398">
        <v>21497637658</v>
      </c>
      <c r="AT25" s="398">
        <v>19600042545</v>
      </c>
      <c r="AU25" s="398">
        <f t="shared" si="15"/>
        <v>0</v>
      </c>
      <c r="AV25" s="398">
        <f t="shared" si="16"/>
        <v>21497637.658</v>
      </c>
      <c r="AW25" s="398">
        <f t="shared" si="17"/>
        <v>19600042.545000002</v>
      </c>
      <c r="BF25" s="365" t="s">
        <v>788</v>
      </c>
      <c r="BG25" s="399" t="s">
        <v>789</v>
      </c>
      <c r="BH25" s="286" t="s">
        <v>429</v>
      </c>
      <c r="BI25" s="288" t="s">
        <v>429</v>
      </c>
      <c r="BJ25" s="366">
        <v>0</v>
      </c>
      <c r="BK25" s="366">
        <v>27800069015</v>
      </c>
      <c r="BL25" s="366">
        <v>26415597632</v>
      </c>
      <c r="BM25" s="366">
        <f t="shared" si="19"/>
        <v>0</v>
      </c>
      <c r="BN25" s="366">
        <f t="shared" si="20"/>
        <v>27800069.015000001</v>
      </c>
      <c r="BO25" s="366">
        <f t="shared" si="21"/>
        <v>26415597.631999999</v>
      </c>
      <c r="BY25" s="286" t="s">
        <v>786</v>
      </c>
      <c r="BZ25" s="286" t="s">
        <v>787</v>
      </c>
      <c r="CA25" s="286" t="s">
        <v>429</v>
      </c>
      <c r="CB25" s="286" t="s">
        <v>429</v>
      </c>
      <c r="CC25" s="288" t="s">
        <v>516</v>
      </c>
      <c r="CD25" s="287">
        <v>0</v>
      </c>
      <c r="CE25" s="287">
        <v>471417409</v>
      </c>
      <c r="CF25" s="287">
        <v>471417409</v>
      </c>
      <c r="CG25" s="287">
        <f t="shared" si="23"/>
        <v>0</v>
      </c>
      <c r="CH25" s="287">
        <f t="shared" si="24"/>
        <v>471417.40899999999</v>
      </c>
      <c r="CI25" s="287">
        <f t="shared" si="25"/>
        <v>471417.40899999999</v>
      </c>
      <c r="CR25" s="288" t="s">
        <v>432</v>
      </c>
      <c r="CS25" s="288" t="s">
        <v>141</v>
      </c>
      <c r="CT25" s="288" t="s">
        <v>429</v>
      </c>
      <c r="CU25" s="288" t="s">
        <v>429</v>
      </c>
      <c r="CV25" s="287">
        <v>0</v>
      </c>
      <c r="CW25" s="287">
        <v>4381701258</v>
      </c>
      <c r="CX25" s="287">
        <v>2771721054</v>
      </c>
      <c r="CY25" s="287">
        <f t="shared" si="27"/>
        <v>0</v>
      </c>
      <c r="CZ25" s="287">
        <f t="shared" si="28"/>
        <v>4381701.2580000004</v>
      </c>
      <c r="DA25" s="287">
        <f t="shared" si="29"/>
        <v>2771721.054</v>
      </c>
      <c r="DK25" s="286" t="s">
        <v>432</v>
      </c>
      <c r="DL25" s="288" t="s">
        <v>141</v>
      </c>
      <c r="DM25" s="286" t="s">
        <v>429</v>
      </c>
      <c r="DN25" s="288" t="s">
        <v>429</v>
      </c>
      <c r="DO25" s="287">
        <v>0</v>
      </c>
      <c r="DP25" s="287">
        <v>5692679929</v>
      </c>
      <c r="DQ25" s="287">
        <v>4082699725</v>
      </c>
      <c r="DR25" s="287">
        <f t="shared" si="31"/>
        <v>0</v>
      </c>
      <c r="DS25" s="287">
        <f t="shared" si="32"/>
        <v>5692679.9289999995</v>
      </c>
      <c r="DT25" s="287">
        <f t="shared" si="33"/>
        <v>4082699.7250000001</v>
      </c>
      <c r="EE25" s="286" t="s">
        <v>432</v>
      </c>
      <c r="EF25" s="288" t="s">
        <v>141</v>
      </c>
      <c r="EG25" s="288" t="s">
        <v>429</v>
      </c>
      <c r="EH25" s="288" t="s">
        <v>429</v>
      </c>
      <c r="EI25" s="287">
        <v>0</v>
      </c>
      <c r="EJ25" s="287">
        <v>5692679929</v>
      </c>
      <c r="EK25" s="287">
        <v>4082699725</v>
      </c>
      <c r="EL25" s="358">
        <f t="shared" si="35"/>
        <v>0</v>
      </c>
      <c r="EM25" s="358">
        <f t="shared" si="36"/>
        <v>5692679.9289999995</v>
      </c>
      <c r="EN25" s="358">
        <f t="shared" si="37"/>
        <v>4082699.7250000001</v>
      </c>
      <c r="EV25" s="357"/>
      <c r="EY25" s="286" t="s">
        <v>432</v>
      </c>
      <c r="EZ25" s="288" t="s">
        <v>141</v>
      </c>
      <c r="FA25" s="288" t="s">
        <v>429</v>
      </c>
      <c r="FB25" s="288" t="s">
        <v>429</v>
      </c>
      <c r="FC25" s="287">
        <v>0</v>
      </c>
      <c r="FD25" s="287">
        <v>4082699725</v>
      </c>
      <c r="FE25" s="287">
        <v>5692679929</v>
      </c>
      <c r="FF25" s="357">
        <f t="shared" si="39"/>
        <v>0</v>
      </c>
      <c r="FG25" s="357">
        <f t="shared" si="40"/>
        <v>4082699.7250000001</v>
      </c>
      <c r="FH25" s="357">
        <f t="shared" si="41"/>
        <v>5692679.9289999995</v>
      </c>
      <c r="FR25" s="364" t="s">
        <v>432</v>
      </c>
      <c r="FS25" s="280" t="s">
        <v>141</v>
      </c>
      <c r="FT25" s="280" t="s">
        <v>429</v>
      </c>
      <c r="FU25" s="280" t="s">
        <v>429</v>
      </c>
      <c r="FV25" s="357">
        <v>0</v>
      </c>
      <c r="FW25" s="357">
        <v>6100729594</v>
      </c>
      <c r="FX25" s="357">
        <v>4449614247</v>
      </c>
      <c r="FY25" s="306">
        <f t="shared" si="43"/>
        <v>0</v>
      </c>
      <c r="FZ25" s="306">
        <f t="shared" si="44"/>
        <v>6100729.5939999996</v>
      </c>
      <c r="GA25" s="306">
        <f t="shared" si="45"/>
        <v>4449614.2470000004</v>
      </c>
      <c r="GK25" s="280" t="s">
        <v>432</v>
      </c>
      <c r="GL25" s="280" t="s">
        <v>141</v>
      </c>
      <c r="GM25" s="280" t="s">
        <v>429</v>
      </c>
      <c r="GN25" s="280" t="s">
        <v>429</v>
      </c>
      <c r="GO25" s="357">
        <v>6435885000</v>
      </c>
      <c r="GP25" s="357">
        <v>0</v>
      </c>
      <c r="GQ25" s="357">
        <v>0</v>
      </c>
      <c r="GR25" s="357">
        <f t="shared" si="47"/>
        <v>6435885</v>
      </c>
      <c r="GS25" s="357">
        <f t="shared" si="48"/>
        <v>0</v>
      </c>
      <c r="GT25" s="357">
        <f t="shared" si="49"/>
        <v>0</v>
      </c>
      <c r="HC25" s="280" t="s">
        <v>432</v>
      </c>
      <c r="HD25" s="280" t="s">
        <v>141</v>
      </c>
      <c r="HE25" s="280" t="s">
        <v>429</v>
      </c>
      <c r="HF25" s="280" t="s">
        <v>429</v>
      </c>
      <c r="HG25" s="305">
        <v>6435885000</v>
      </c>
      <c r="HH25" s="305">
        <v>0</v>
      </c>
      <c r="HI25" s="305">
        <v>0</v>
      </c>
      <c r="HJ25" s="305">
        <f t="shared" si="51"/>
        <v>6435885</v>
      </c>
      <c r="HK25" s="305">
        <f t="shared" si="52"/>
        <v>0</v>
      </c>
      <c r="HL25" s="305">
        <f t="shared" si="53"/>
        <v>0</v>
      </c>
    </row>
    <row r="26" spans="1:220" ht="15" customHeight="1" x14ac:dyDescent="0.2">
      <c r="A26" s="286" t="s">
        <v>796</v>
      </c>
      <c r="B26" s="288" t="s">
        <v>797</v>
      </c>
      <c r="C26" s="286" t="s">
        <v>429</v>
      </c>
      <c r="D26" s="288" t="s">
        <v>429</v>
      </c>
      <c r="E26" s="287">
        <v>3167999214</v>
      </c>
      <c r="F26" s="287">
        <v>0</v>
      </c>
      <c r="G26" s="287">
        <v>0</v>
      </c>
      <c r="H26" s="287">
        <f t="shared" si="7"/>
        <v>3301055.1809880002</v>
      </c>
      <c r="I26" s="287">
        <f t="shared" si="8"/>
        <v>0</v>
      </c>
      <c r="J26" s="287">
        <f t="shared" si="9"/>
        <v>0</v>
      </c>
      <c r="T26" s="395" t="s">
        <v>792</v>
      </c>
      <c r="U26" s="396" t="s">
        <v>793</v>
      </c>
      <c r="V26" s="395" t="s">
        <v>429</v>
      </c>
      <c r="W26" s="396" t="s">
        <v>429</v>
      </c>
      <c r="X26" s="397">
        <v>2651011000</v>
      </c>
      <c r="Y26" s="397">
        <v>0</v>
      </c>
      <c r="Z26" s="397">
        <v>0</v>
      </c>
      <c r="AA26" s="358">
        <f t="shared" si="11"/>
        <v>2762353.4620000003</v>
      </c>
      <c r="AB26" s="358">
        <f t="shared" si="12"/>
        <v>0</v>
      </c>
      <c r="AC26" s="358">
        <f t="shared" si="13"/>
        <v>0</v>
      </c>
      <c r="AM26" s="288" t="s">
        <v>790</v>
      </c>
      <c r="AN26" s="288" t="s">
        <v>791</v>
      </c>
      <c r="AO26" s="288" t="s">
        <v>429</v>
      </c>
      <c r="AP26" s="288" t="s">
        <v>429</v>
      </c>
      <c r="AQ26" s="288" t="s">
        <v>516</v>
      </c>
      <c r="AR26" s="398">
        <v>17225780000</v>
      </c>
      <c r="AS26" s="398">
        <v>0</v>
      </c>
      <c r="AT26" s="398">
        <v>0</v>
      </c>
      <c r="AU26" s="398">
        <f t="shared" si="15"/>
        <v>17225780</v>
      </c>
      <c r="AV26" s="398">
        <f t="shared" si="16"/>
        <v>0</v>
      </c>
      <c r="AW26" s="398">
        <f t="shared" si="17"/>
        <v>0</v>
      </c>
      <c r="BF26" s="365" t="s">
        <v>790</v>
      </c>
      <c r="BG26" s="399" t="s">
        <v>791</v>
      </c>
      <c r="BH26" s="286" t="s">
        <v>429</v>
      </c>
      <c r="BI26" s="288" t="s">
        <v>429</v>
      </c>
      <c r="BJ26" s="366">
        <v>17225780000</v>
      </c>
      <c r="BK26" s="366">
        <v>0</v>
      </c>
      <c r="BL26" s="366">
        <v>0</v>
      </c>
      <c r="BM26" s="366">
        <f t="shared" si="19"/>
        <v>17225780</v>
      </c>
      <c r="BN26" s="366">
        <f t="shared" si="20"/>
        <v>0</v>
      </c>
      <c r="BO26" s="366">
        <f t="shared" si="21"/>
        <v>0</v>
      </c>
      <c r="BY26" s="286" t="s">
        <v>788</v>
      </c>
      <c r="BZ26" s="286" t="s">
        <v>789</v>
      </c>
      <c r="CA26" s="286" t="s">
        <v>429</v>
      </c>
      <c r="CB26" s="286" t="s">
        <v>429</v>
      </c>
      <c r="CC26" s="288" t="s">
        <v>516</v>
      </c>
      <c r="CD26" s="287">
        <v>46597979500</v>
      </c>
      <c r="CE26" s="287">
        <v>0</v>
      </c>
      <c r="CF26" s="287">
        <v>0</v>
      </c>
      <c r="CG26" s="287">
        <f t="shared" si="23"/>
        <v>46597979.5</v>
      </c>
      <c r="CH26" s="287">
        <f t="shared" si="24"/>
        <v>0</v>
      </c>
      <c r="CI26" s="287">
        <f t="shared" si="25"/>
        <v>0</v>
      </c>
      <c r="CR26" s="288" t="s">
        <v>786</v>
      </c>
      <c r="CS26" s="288" t="s">
        <v>787</v>
      </c>
      <c r="CT26" s="288" t="s">
        <v>429</v>
      </c>
      <c r="CU26" s="288" t="s">
        <v>429</v>
      </c>
      <c r="CV26" s="287">
        <v>33586656500</v>
      </c>
      <c r="CW26" s="287">
        <v>0</v>
      </c>
      <c r="CX26" s="287">
        <v>0</v>
      </c>
      <c r="CY26" s="287">
        <f t="shared" si="27"/>
        <v>33586656.5</v>
      </c>
      <c r="CZ26" s="287">
        <f t="shared" si="28"/>
        <v>0</v>
      </c>
      <c r="DA26" s="287">
        <f t="shared" si="29"/>
        <v>0</v>
      </c>
      <c r="DK26" s="286" t="s">
        <v>786</v>
      </c>
      <c r="DL26" s="288" t="s">
        <v>787</v>
      </c>
      <c r="DM26" s="286" t="s">
        <v>429</v>
      </c>
      <c r="DN26" s="288" t="s">
        <v>429</v>
      </c>
      <c r="DO26" s="287">
        <v>33586656500</v>
      </c>
      <c r="DP26" s="287">
        <v>0</v>
      </c>
      <c r="DQ26" s="287">
        <v>0</v>
      </c>
      <c r="DR26" s="287">
        <f t="shared" si="31"/>
        <v>33586656.5</v>
      </c>
      <c r="DS26" s="287">
        <f t="shared" si="32"/>
        <v>0</v>
      </c>
      <c r="DT26" s="287">
        <f t="shared" si="33"/>
        <v>0</v>
      </c>
      <c r="EE26" s="286" t="s">
        <v>786</v>
      </c>
      <c r="EF26" s="288" t="s">
        <v>787</v>
      </c>
      <c r="EG26" s="288" t="s">
        <v>429</v>
      </c>
      <c r="EH26" s="288" t="s">
        <v>429</v>
      </c>
      <c r="EI26" s="287">
        <v>33568839740</v>
      </c>
      <c r="EJ26" s="287">
        <v>0</v>
      </c>
      <c r="EK26" s="287">
        <v>0</v>
      </c>
      <c r="EL26" s="358">
        <f t="shared" si="35"/>
        <v>33568839.740000002</v>
      </c>
      <c r="EM26" s="358">
        <f t="shared" si="36"/>
        <v>0</v>
      </c>
      <c r="EN26" s="358">
        <f t="shared" si="37"/>
        <v>0</v>
      </c>
      <c r="EV26" s="357"/>
      <c r="EY26" s="286" t="s">
        <v>786</v>
      </c>
      <c r="EZ26" s="288" t="s">
        <v>787</v>
      </c>
      <c r="FA26" s="288" t="s">
        <v>429</v>
      </c>
      <c r="FB26" s="288" t="s">
        <v>429</v>
      </c>
      <c r="FC26" s="287">
        <v>33568839740</v>
      </c>
      <c r="FD26" s="287">
        <v>0</v>
      </c>
      <c r="FE26" s="287">
        <v>0</v>
      </c>
      <c r="FF26" s="357">
        <f t="shared" si="39"/>
        <v>33568839.740000002</v>
      </c>
      <c r="FG26" s="357">
        <f t="shared" si="40"/>
        <v>0</v>
      </c>
      <c r="FH26" s="357">
        <f t="shared" si="41"/>
        <v>0</v>
      </c>
      <c r="FR26" s="364" t="s">
        <v>786</v>
      </c>
      <c r="FS26" s="280" t="s">
        <v>787</v>
      </c>
      <c r="FT26" s="280" t="s">
        <v>429</v>
      </c>
      <c r="FU26" s="280" t="s">
        <v>429</v>
      </c>
      <c r="FV26" s="357">
        <v>33568839740</v>
      </c>
      <c r="FW26" s="357">
        <v>0</v>
      </c>
      <c r="FX26" s="357">
        <v>0</v>
      </c>
      <c r="FY26" s="306">
        <f t="shared" si="43"/>
        <v>33568839.740000002</v>
      </c>
      <c r="FZ26" s="306">
        <f t="shared" si="44"/>
        <v>0</v>
      </c>
      <c r="GA26" s="306">
        <f t="shared" si="45"/>
        <v>0</v>
      </c>
      <c r="GK26" s="280" t="s">
        <v>432</v>
      </c>
      <c r="GL26" s="280" t="s">
        <v>141</v>
      </c>
      <c r="GM26" s="280" t="s">
        <v>429</v>
      </c>
      <c r="GN26" s="280" t="s">
        <v>429</v>
      </c>
      <c r="GO26" s="357">
        <v>0</v>
      </c>
      <c r="GP26" s="357">
        <v>6435884757</v>
      </c>
      <c r="GQ26" s="357">
        <v>4449614247</v>
      </c>
      <c r="GR26" s="357">
        <f t="shared" si="47"/>
        <v>0</v>
      </c>
      <c r="GS26" s="357">
        <f t="shared" si="48"/>
        <v>6435884.7570000002</v>
      </c>
      <c r="GT26" s="357">
        <f t="shared" si="49"/>
        <v>4449614.2470000004</v>
      </c>
      <c r="HC26" s="280" t="s">
        <v>432</v>
      </c>
      <c r="HD26" s="280" t="s">
        <v>141</v>
      </c>
      <c r="HE26" s="280" t="s">
        <v>429</v>
      </c>
      <c r="HF26" s="280" t="s">
        <v>429</v>
      </c>
      <c r="HG26" s="305">
        <v>0</v>
      </c>
      <c r="HH26" s="305">
        <v>6435884757</v>
      </c>
      <c r="HI26" s="305">
        <v>6435884757</v>
      </c>
      <c r="HJ26" s="305">
        <f t="shared" si="51"/>
        <v>0</v>
      </c>
      <c r="HK26" s="305">
        <f t="shared" si="52"/>
        <v>6435884.7570000002</v>
      </c>
      <c r="HL26" s="305">
        <f t="shared" si="53"/>
        <v>6435884.7570000002</v>
      </c>
    </row>
    <row r="27" spans="1:220" ht="15" customHeight="1" x14ac:dyDescent="0.2">
      <c r="A27" s="286" t="s">
        <v>798</v>
      </c>
      <c r="B27" s="288" t="s">
        <v>799</v>
      </c>
      <c r="C27" s="286" t="s">
        <v>429</v>
      </c>
      <c r="D27" s="288" t="s">
        <v>429</v>
      </c>
      <c r="E27" s="287">
        <v>2690153131</v>
      </c>
      <c r="F27" s="287">
        <v>0</v>
      </c>
      <c r="G27" s="287">
        <v>0</v>
      </c>
      <c r="H27" s="287">
        <f t="shared" si="7"/>
        <v>2803139.562502</v>
      </c>
      <c r="I27" s="287">
        <f t="shared" si="8"/>
        <v>0</v>
      </c>
      <c r="J27" s="287">
        <f t="shared" si="9"/>
        <v>0</v>
      </c>
      <c r="T27" s="395" t="s">
        <v>794</v>
      </c>
      <c r="U27" s="396" t="s">
        <v>795</v>
      </c>
      <c r="V27" s="395" t="s">
        <v>429</v>
      </c>
      <c r="W27" s="396" t="s">
        <v>429</v>
      </c>
      <c r="X27" s="397">
        <v>7099380194</v>
      </c>
      <c r="Y27" s="397">
        <v>0</v>
      </c>
      <c r="Z27" s="397">
        <v>0</v>
      </c>
      <c r="AA27" s="358">
        <f t="shared" si="11"/>
        <v>7397554.1621480007</v>
      </c>
      <c r="AB27" s="358">
        <f t="shared" si="12"/>
        <v>0</v>
      </c>
      <c r="AC27" s="358">
        <f t="shared" si="13"/>
        <v>0</v>
      </c>
      <c r="AM27" s="288" t="s">
        <v>790</v>
      </c>
      <c r="AN27" s="288" t="s">
        <v>791</v>
      </c>
      <c r="AO27" s="288" t="s">
        <v>429</v>
      </c>
      <c r="AP27" s="288" t="s">
        <v>429</v>
      </c>
      <c r="AQ27" s="288" t="s">
        <v>516</v>
      </c>
      <c r="AR27" s="398">
        <v>0</v>
      </c>
      <c r="AS27" s="398">
        <v>10553181989</v>
      </c>
      <c r="AT27" s="398">
        <v>5276591011</v>
      </c>
      <c r="AU27" s="398">
        <f t="shared" si="15"/>
        <v>0</v>
      </c>
      <c r="AV27" s="398">
        <f t="shared" si="16"/>
        <v>10553181.989</v>
      </c>
      <c r="AW27" s="398">
        <f t="shared" si="17"/>
        <v>5276591.0109999999</v>
      </c>
      <c r="BF27" s="365" t="s">
        <v>790</v>
      </c>
      <c r="BG27" s="399" t="s">
        <v>791</v>
      </c>
      <c r="BH27" s="286" t="s">
        <v>429</v>
      </c>
      <c r="BI27" s="288" t="s">
        <v>429</v>
      </c>
      <c r="BJ27" s="366">
        <v>0</v>
      </c>
      <c r="BK27" s="366">
        <v>10553181989</v>
      </c>
      <c r="BL27" s="366">
        <v>10123545263</v>
      </c>
      <c r="BM27" s="366">
        <f t="shared" si="19"/>
        <v>0</v>
      </c>
      <c r="BN27" s="366">
        <f t="shared" si="20"/>
        <v>10553181.989</v>
      </c>
      <c r="BO27" s="366">
        <f t="shared" si="21"/>
        <v>10123545.263</v>
      </c>
      <c r="BY27" s="286" t="s">
        <v>788</v>
      </c>
      <c r="BZ27" s="286" t="s">
        <v>789</v>
      </c>
      <c r="CA27" s="286" t="s">
        <v>429</v>
      </c>
      <c r="CB27" s="286" t="s">
        <v>429</v>
      </c>
      <c r="CC27" s="288" t="s">
        <v>516</v>
      </c>
      <c r="CD27" s="287">
        <v>0</v>
      </c>
      <c r="CE27" s="287">
        <v>33359951336</v>
      </c>
      <c r="CF27" s="287">
        <v>31822887542</v>
      </c>
      <c r="CG27" s="287">
        <f t="shared" si="23"/>
        <v>0</v>
      </c>
      <c r="CH27" s="287">
        <f t="shared" si="24"/>
        <v>33359951.335999999</v>
      </c>
      <c r="CI27" s="287">
        <f t="shared" si="25"/>
        <v>31822887.541999999</v>
      </c>
      <c r="CR27" s="288" t="s">
        <v>786</v>
      </c>
      <c r="CS27" s="288" t="s">
        <v>787</v>
      </c>
      <c r="CT27" s="288" t="s">
        <v>429</v>
      </c>
      <c r="CU27" s="288" t="s">
        <v>429</v>
      </c>
      <c r="CV27" s="287">
        <v>0</v>
      </c>
      <c r="CW27" s="287">
        <v>737067744</v>
      </c>
      <c r="CX27" s="287">
        <v>737067744</v>
      </c>
      <c r="CY27" s="287">
        <f t="shared" si="27"/>
        <v>0</v>
      </c>
      <c r="CZ27" s="287">
        <f t="shared" si="28"/>
        <v>737067.74399999995</v>
      </c>
      <c r="DA27" s="287">
        <f t="shared" si="29"/>
        <v>737067.74399999995</v>
      </c>
      <c r="DK27" s="286" t="s">
        <v>786</v>
      </c>
      <c r="DL27" s="288" t="s">
        <v>787</v>
      </c>
      <c r="DM27" s="286" t="s">
        <v>429</v>
      </c>
      <c r="DN27" s="288" t="s">
        <v>429</v>
      </c>
      <c r="DO27" s="287">
        <v>0</v>
      </c>
      <c r="DP27" s="287">
        <v>6185167081</v>
      </c>
      <c r="DQ27" s="287">
        <v>4169936251</v>
      </c>
      <c r="DR27" s="287">
        <f t="shared" si="31"/>
        <v>0</v>
      </c>
      <c r="DS27" s="287">
        <f t="shared" si="32"/>
        <v>6185167.0810000002</v>
      </c>
      <c r="DT27" s="287">
        <f t="shared" si="33"/>
        <v>4169936.2510000002</v>
      </c>
      <c r="EE27" s="286" t="s">
        <v>786</v>
      </c>
      <c r="EF27" s="288" t="s">
        <v>787</v>
      </c>
      <c r="EG27" s="288" t="s">
        <v>429</v>
      </c>
      <c r="EH27" s="288" t="s">
        <v>429</v>
      </c>
      <c r="EI27" s="287">
        <v>0</v>
      </c>
      <c r="EJ27" s="287">
        <v>9137567567</v>
      </c>
      <c r="EK27" s="287">
        <v>8278953262</v>
      </c>
      <c r="EL27" s="358">
        <f t="shared" si="35"/>
        <v>0</v>
      </c>
      <c r="EM27" s="358">
        <f t="shared" si="36"/>
        <v>9137567.5669999998</v>
      </c>
      <c r="EN27" s="358">
        <f t="shared" si="37"/>
        <v>8278953.2620000001</v>
      </c>
      <c r="EV27" s="357"/>
      <c r="EY27" s="286" t="s">
        <v>786</v>
      </c>
      <c r="EZ27" s="288" t="s">
        <v>787</v>
      </c>
      <c r="FA27" s="288" t="s">
        <v>429</v>
      </c>
      <c r="FB27" s="288" t="s">
        <v>429</v>
      </c>
      <c r="FC27" s="287">
        <v>0</v>
      </c>
      <c r="FD27" s="287">
        <v>12385267997</v>
      </c>
      <c r="FE27" s="287">
        <v>13082777365</v>
      </c>
      <c r="FF27" s="357">
        <f t="shared" si="39"/>
        <v>0</v>
      </c>
      <c r="FG27" s="357">
        <f t="shared" si="40"/>
        <v>12385267.997</v>
      </c>
      <c r="FH27" s="357">
        <f t="shared" si="41"/>
        <v>13082777.365</v>
      </c>
      <c r="FR27" s="364" t="s">
        <v>786</v>
      </c>
      <c r="FS27" s="280" t="s">
        <v>787</v>
      </c>
      <c r="FT27" s="280" t="s">
        <v>429</v>
      </c>
      <c r="FU27" s="280" t="s">
        <v>429</v>
      </c>
      <c r="FV27" s="357">
        <v>0</v>
      </c>
      <c r="FW27" s="357">
        <v>16784790981</v>
      </c>
      <c r="FX27" s="357">
        <v>16241764938</v>
      </c>
      <c r="FY27" s="306">
        <f t="shared" si="43"/>
        <v>0</v>
      </c>
      <c r="FZ27" s="306">
        <f t="shared" si="44"/>
        <v>16784790.980999999</v>
      </c>
      <c r="GA27" s="306">
        <f t="shared" si="45"/>
        <v>16241764.937999999</v>
      </c>
      <c r="GK27" s="280" t="s">
        <v>786</v>
      </c>
      <c r="GL27" s="280" t="s">
        <v>787</v>
      </c>
      <c r="GM27" s="280" t="s">
        <v>429</v>
      </c>
      <c r="GN27" s="280" t="s">
        <v>429</v>
      </c>
      <c r="GO27" s="357">
        <v>34268839740</v>
      </c>
      <c r="GP27" s="357">
        <v>0</v>
      </c>
      <c r="GQ27" s="357">
        <v>0</v>
      </c>
      <c r="GR27" s="357">
        <f t="shared" si="47"/>
        <v>34268839.740000002</v>
      </c>
      <c r="GS27" s="357">
        <f t="shared" si="48"/>
        <v>0</v>
      </c>
      <c r="GT27" s="357">
        <f t="shared" si="49"/>
        <v>0</v>
      </c>
      <c r="HC27" s="280" t="s">
        <v>786</v>
      </c>
      <c r="HD27" s="280" t="s">
        <v>787</v>
      </c>
      <c r="HE27" s="280" t="s">
        <v>429</v>
      </c>
      <c r="HF27" s="280" t="s">
        <v>429</v>
      </c>
      <c r="HG27" s="305">
        <v>34254412718</v>
      </c>
      <c r="HH27" s="305">
        <v>0</v>
      </c>
      <c r="HI27" s="305">
        <v>0</v>
      </c>
      <c r="HJ27" s="305">
        <f t="shared" si="51"/>
        <v>34254412.718000002</v>
      </c>
      <c r="HK27" s="305">
        <f t="shared" si="52"/>
        <v>0</v>
      </c>
      <c r="HL27" s="305">
        <f t="shared" si="53"/>
        <v>0</v>
      </c>
    </row>
    <row r="28" spans="1:220" ht="15" customHeight="1" x14ac:dyDescent="0.2">
      <c r="A28" s="286" t="s">
        <v>800</v>
      </c>
      <c r="B28" s="288" t="s">
        <v>801</v>
      </c>
      <c r="C28" s="286" t="s">
        <v>429</v>
      </c>
      <c r="D28" s="288" t="s">
        <v>429</v>
      </c>
      <c r="E28" s="287">
        <v>1767372802</v>
      </c>
      <c r="F28" s="287">
        <v>0</v>
      </c>
      <c r="G28" s="287">
        <v>0</v>
      </c>
      <c r="H28" s="287">
        <f t="shared" si="7"/>
        <v>1841602.4596839999</v>
      </c>
      <c r="I28" s="287">
        <f t="shared" si="8"/>
        <v>0</v>
      </c>
      <c r="J28" s="287">
        <f t="shared" si="9"/>
        <v>0</v>
      </c>
      <c r="T28" s="395" t="s">
        <v>794</v>
      </c>
      <c r="U28" s="396" t="s">
        <v>795</v>
      </c>
      <c r="V28" s="395" t="s">
        <v>429</v>
      </c>
      <c r="W28" s="396" t="s">
        <v>429</v>
      </c>
      <c r="X28" s="397">
        <v>0</v>
      </c>
      <c r="Y28" s="397">
        <v>124417500</v>
      </c>
      <c r="Z28" s="397">
        <v>124417500</v>
      </c>
      <c r="AA28" s="358">
        <f t="shared" si="11"/>
        <v>0</v>
      </c>
      <c r="AB28" s="358">
        <f t="shared" si="12"/>
        <v>129643.035</v>
      </c>
      <c r="AC28" s="358">
        <f t="shared" si="13"/>
        <v>129643.035</v>
      </c>
      <c r="AM28" s="288" t="s">
        <v>792</v>
      </c>
      <c r="AN28" s="288" t="s">
        <v>793</v>
      </c>
      <c r="AO28" s="288" t="s">
        <v>429</v>
      </c>
      <c r="AP28" s="288" t="s">
        <v>429</v>
      </c>
      <c r="AQ28" s="288" t="s">
        <v>516</v>
      </c>
      <c r="AR28" s="398">
        <v>551011000</v>
      </c>
      <c r="AS28" s="398">
        <v>0</v>
      </c>
      <c r="AT28" s="398">
        <v>0</v>
      </c>
      <c r="AU28" s="398">
        <f t="shared" si="15"/>
        <v>551011</v>
      </c>
      <c r="AV28" s="398">
        <f t="shared" si="16"/>
        <v>0</v>
      </c>
      <c r="AW28" s="398">
        <f t="shared" si="17"/>
        <v>0</v>
      </c>
      <c r="BF28" s="365" t="s">
        <v>792</v>
      </c>
      <c r="BG28" s="399" t="s">
        <v>793</v>
      </c>
      <c r="BH28" s="286" t="s">
        <v>429</v>
      </c>
      <c r="BI28" s="288" t="s">
        <v>429</v>
      </c>
      <c r="BJ28" s="366">
        <v>551011000</v>
      </c>
      <c r="BK28" s="366">
        <v>0</v>
      </c>
      <c r="BL28" s="366">
        <v>0</v>
      </c>
      <c r="BM28" s="366">
        <f t="shared" si="19"/>
        <v>551011</v>
      </c>
      <c r="BN28" s="366">
        <f t="shared" si="20"/>
        <v>0</v>
      </c>
      <c r="BO28" s="366">
        <f t="shared" si="21"/>
        <v>0</v>
      </c>
      <c r="BY28" s="286" t="s">
        <v>790</v>
      </c>
      <c r="BZ28" s="286" t="s">
        <v>791</v>
      </c>
      <c r="CA28" s="286" t="s">
        <v>429</v>
      </c>
      <c r="CB28" s="286" t="s">
        <v>429</v>
      </c>
      <c r="CC28" s="288" t="s">
        <v>516</v>
      </c>
      <c r="CD28" s="287">
        <v>17225780000</v>
      </c>
      <c r="CE28" s="287">
        <v>0</v>
      </c>
      <c r="CF28" s="287">
        <v>0</v>
      </c>
      <c r="CG28" s="287">
        <f t="shared" si="23"/>
        <v>17225780</v>
      </c>
      <c r="CH28" s="287">
        <f t="shared" si="24"/>
        <v>0</v>
      </c>
      <c r="CI28" s="287">
        <f t="shared" si="25"/>
        <v>0</v>
      </c>
      <c r="CR28" s="288" t="s">
        <v>788</v>
      </c>
      <c r="CS28" s="288" t="s">
        <v>789</v>
      </c>
      <c r="CT28" s="288" t="s">
        <v>429</v>
      </c>
      <c r="CU28" s="288" t="s">
        <v>429</v>
      </c>
      <c r="CV28" s="287">
        <v>45632329002</v>
      </c>
      <c r="CW28" s="287">
        <v>0</v>
      </c>
      <c r="CX28" s="287">
        <v>0</v>
      </c>
      <c r="CY28" s="287">
        <f t="shared" si="27"/>
        <v>45632329.001999997</v>
      </c>
      <c r="CZ28" s="287">
        <f t="shared" si="28"/>
        <v>0</v>
      </c>
      <c r="DA28" s="287">
        <f t="shared" si="29"/>
        <v>0</v>
      </c>
      <c r="DK28" s="286" t="s">
        <v>788</v>
      </c>
      <c r="DL28" s="288" t="s">
        <v>789</v>
      </c>
      <c r="DM28" s="286" t="s">
        <v>429</v>
      </c>
      <c r="DN28" s="288" t="s">
        <v>429</v>
      </c>
      <c r="DO28" s="287">
        <v>51142616002</v>
      </c>
      <c r="DP28" s="287">
        <v>0</v>
      </c>
      <c r="DQ28" s="287">
        <v>0</v>
      </c>
      <c r="DR28" s="287">
        <f t="shared" si="31"/>
        <v>51142616.001999997</v>
      </c>
      <c r="DS28" s="287">
        <f t="shared" si="32"/>
        <v>0</v>
      </c>
      <c r="DT28" s="287">
        <f t="shared" si="33"/>
        <v>0</v>
      </c>
      <c r="EE28" s="286" t="s">
        <v>788</v>
      </c>
      <c r="EF28" s="288" t="s">
        <v>789</v>
      </c>
      <c r="EG28" s="288" t="s">
        <v>429</v>
      </c>
      <c r="EH28" s="288" t="s">
        <v>429</v>
      </c>
      <c r="EI28" s="287">
        <v>66672148002</v>
      </c>
      <c r="EJ28" s="287">
        <v>0</v>
      </c>
      <c r="EK28" s="287">
        <v>0</v>
      </c>
      <c r="EL28" s="358">
        <f t="shared" si="35"/>
        <v>66672148.001999997</v>
      </c>
      <c r="EM28" s="358">
        <f t="shared" si="36"/>
        <v>0</v>
      </c>
      <c r="EN28" s="358">
        <f t="shared" si="37"/>
        <v>0</v>
      </c>
      <c r="EV28" s="357"/>
      <c r="EY28" s="286" t="s">
        <v>788</v>
      </c>
      <c r="EZ28" s="288" t="s">
        <v>789</v>
      </c>
      <c r="FA28" s="288" t="s">
        <v>429</v>
      </c>
      <c r="FB28" s="288" t="s">
        <v>429</v>
      </c>
      <c r="FC28" s="287">
        <v>66457818004</v>
      </c>
      <c r="FD28" s="287">
        <v>0</v>
      </c>
      <c r="FE28" s="287">
        <v>0</v>
      </c>
      <c r="FF28" s="357">
        <f t="shared" si="39"/>
        <v>66457818.004000001</v>
      </c>
      <c r="FG28" s="357">
        <f t="shared" si="40"/>
        <v>0</v>
      </c>
      <c r="FH28" s="357">
        <f t="shared" si="41"/>
        <v>0</v>
      </c>
      <c r="FR28" s="364" t="s">
        <v>788</v>
      </c>
      <c r="FS28" s="280" t="s">
        <v>789</v>
      </c>
      <c r="FT28" s="280" t="s">
        <v>429</v>
      </c>
      <c r="FU28" s="280" t="s">
        <v>429</v>
      </c>
      <c r="FV28" s="357">
        <v>66457818004</v>
      </c>
      <c r="FW28" s="357">
        <v>0</v>
      </c>
      <c r="FX28" s="357">
        <v>0</v>
      </c>
      <c r="FY28" s="306">
        <f t="shared" si="43"/>
        <v>66457818.004000001</v>
      </c>
      <c r="FZ28" s="306">
        <f t="shared" si="44"/>
        <v>0</v>
      </c>
      <c r="GA28" s="306">
        <f t="shared" si="45"/>
        <v>0</v>
      </c>
      <c r="GK28" s="280" t="s">
        <v>786</v>
      </c>
      <c r="GL28" s="280" t="s">
        <v>787</v>
      </c>
      <c r="GM28" s="280" t="s">
        <v>429</v>
      </c>
      <c r="GN28" s="280" t="s">
        <v>429</v>
      </c>
      <c r="GO28" s="357">
        <v>0</v>
      </c>
      <c r="GP28" s="357">
        <v>32733593823</v>
      </c>
      <c r="GQ28" s="357">
        <v>24484513447</v>
      </c>
      <c r="GR28" s="357">
        <f t="shared" si="47"/>
        <v>0</v>
      </c>
      <c r="GS28" s="357">
        <f t="shared" si="48"/>
        <v>32733593.822999999</v>
      </c>
      <c r="GT28" s="357">
        <f t="shared" si="49"/>
        <v>24484513.447000001</v>
      </c>
      <c r="HC28" s="280" t="s">
        <v>786</v>
      </c>
      <c r="HD28" s="280" t="s">
        <v>787</v>
      </c>
      <c r="HE28" s="280" t="s">
        <v>429</v>
      </c>
      <c r="HF28" s="280" t="s">
        <v>429</v>
      </c>
      <c r="HG28" s="305">
        <v>0</v>
      </c>
      <c r="HH28" s="305">
        <v>34241842378</v>
      </c>
      <c r="HI28" s="305">
        <v>34254412718</v>
      </c>
      <c r="HJ28" s="305">
        <f t="shared" si="51"/>
        <v>0</v>
      </c>
      <c r="HK28" s="305">
        <f t="shared" si="52"/>
        <v>34241842.377999999</v>
      </c>
      <c r="HL28" s="305">
        <f t="shared" si="53"/>
        <v>34254412.718000002</v>
      </c>
    </row>
    <row r="29" spans="1:220" ht="15" customHeight="1" x14ac:dyDescent="0.2">
      <c r="A29" s="286" t="s">
        <v>802</v>
      </c>
      <c r="B29" s="288" t="s">
        <v>803</v>
      </c>
      <c r="C29" s="286" t="s">
        <v>429</v>
      </c>
      <c r="D29" s="288" t="s">
        <v>429</v>
      </c>
      <c r="E29" s="287">
        <v>20808775000</v>
      </c>
      <c r="F29" s="287">
        <v>0</v>
      </c>
      <c r="G29" s="287">
        <v>0</v>
      </c>
      <c r="H29" s="287">
        <f t="shared" si="7"/>
        <v>21682743.550000001</v>
      </c>
      <c r="I29" s="287">
        <f t="shared" si="8"/>
        <v>0</v>
      </c>
      <c r="J29" s="287">
        <f t="shared" si="9"/>
        <v>0</v>
      </c>
      <c r="T29" s="395" t="s">
        <v>796</v>
      </c>
      <c r="U29" s="396" t="s">
        <v>797</v>
      </c>
      <c r="V29" s="395" t="s">
        <v>429</v>
      </c>
      <c r="W29" s="396" t="s">
        <v>429</v>
      </c>
      <c r="X29" s="397">
        <v>3167999214</v>
      </c>
      <c r="Y29" s="397">
        <v>0</v>
      </c>
      <c r="Z29" s="397">
        <v>0</v>
      </c>
      <c r="AA29" s="358">
        <f t="shared" si="11"/>
        <v>3301055.1809880002</v>
      </c>
      <c r="AB29" s="358">
        <f t="shared" si="12"/>
        <v>0</v>
      </c>
      <c r="AC29" s="358">
        <f t="shared" si="13"/>
        <v>0</v>
      </c>
      <c r="AM29" s="288" t="s">
        <v>792</v>
      </c>
      <c r="AN29" s="288" t="s">
        <v>793</v>
      </c>
      <c r="AO29" s="288" t="s">
        <v>429</v>
      </c>
      <c r="AP29" s="288" t="s">
        <v>429</v>
      </c>
      <c r="AQ29" s="288" t="s">
        <v>516</v>
      </c>
      <c r="AR29" s="398">
        <v>0</v>
      </c>
      <c r="AS29" s="398">
        <v>74436520</v>
      </c>
      <c r="AT29" s="398">
        <v>74436520</v>
      </c>
      <c r="AU29" s="398">
        <f t="shared" si="15"/>
        <v>0</v>
      </c>
      <c r="AV29" s="398">
        <f t="shared" si="16"/>
        <v>74436.52</v>
      </c>
      <c r="AW29" s="398">
        <f t="shared" si="17"/>
        <v>74436.52</v>
      </c>
      <c r="BF29" s="365" t="s">
        <v>792</v>
      </c>
      <c r="BG29" s="399" t="s">
        <v>793</v>
      </c>
      <c r="BH29" s="286" t="s">
        <v>429</v>
      </c>
      <c r="BI29" s="288" t="s">
        <v>429</v>
      </c>
      <c r="BJ29" s="366">
        <v>0</v>
      </c>
      <c r="BK29" s="366">
        <v>298932150</v>
      </c>
      <c r="BL29" s="366">
        <v>224006031</v>
      </c>
      <c r="BM29" s="366">
        <f t="shared" si="19"/>
        <v>0</v>
      </c>
      <c r="BN29" s="366">
        <f t="shared" si="20"/>
        <v>298932.15000000002</v>
      </c>
      <c r="BO29" s="366">
        <f t="shared" si="21"/>
        <v>224006.03099999999</v>
      </c>
      <c r="BY29" s="286" t="s">
        <v>790</v>
      </c>
      <c r="BZ29" s="286" t="s">
        <v>791</v>
      </c>
      <c r="CA29" s="286" t="s">
        <v>429</v>
      </c>
      <c r="CB29" s="286" t="s">
        <v>429</v>
      </c>
      <c r="CC29" s="288" t="s">
        <v>516</v>
      </c>
      <c r="CD29" s="287">
        <v>0</v>
      </c>
      <c r="CE29" s="287">
        <v>10553181989</v>
      </c>
      <c r="CF29" s="287">
        <v>10332464544</v>
      </c>
      <c r="CG29" s="287">
        <f t="shared" si="23"/>
        <v>0</v>
      </c>
      <c r="CH29" s="287">
        <f t="shared" si="24"/>
        <v>10553181.989</v>
      </c>
      <c r="CI29" s="287">
        <f t="shared" si="25"/>
        <v>10332464.544</v>
      </c>
      <c r="CR29" s="288" t="s">
        <v>788</v>
      </c>
      <c r="CS29" s="288" t="s">
        <v>789</v>
      </c>
      <c r="CT29" s="288" t="s">
        <v>429</v>
      </c>
      <c r="CU29" s="288" t="s">
        <v>429</v>
      </c>
      <c r="CV29" s="287">
        <v>0</v>
      </c>
      <c r="CW29" s="287">
        <v>36703599818</v>
      </c>
      <c r="CX29" s="287">
        <v>35396185044</v>
      </c>
      <c r="CY29" s="287">
        <f t="shared" si="27"/>
        <v>0</v>
      </c>
      <c r="CZ29" s="287">
        <f t="shared" si="28"/>
        <v>36703599.818000004</v>
      </c>
      <c r="DA29" s="287">
        <f t="shared" si="29"/>
        <v>35396185.044</v>
      </c>
      <c r="DK29" s="286" t="s">
        <v>788</v>
      </c>
      <c r="DL29" s="288" t="s">
        <v>789</v>
      </c>
      <c r="DM29" s="286" t="s">
        <v>429</v>
      </c>
      <c r="DN29" s="288" t="s">
        <v>429</v>
      </c>
      <c r="DO29" s="287">
        <v>0</v>
      </c>
      <c r="DP29" s="287">
        <v>41344048402</v>
      </c>
      <c r="DQ29" s="287">
        <v>39013609884</v>
      </c>
      <c r="DR29" s="287">
        <f t="shared" si="31"/>
        <v>0</v>
      </c>
      <c r="DS29" s="287">
        <f t="shared" si="32"/>
        <v>41344048.402000003</v>
      </c>
      <c r="DT29" s="287">
        <f t="shared" si="33"/>
        <v>39013609.884000003</v>
      </c>
      <c r="EE29" s="286" t="s">
        <v>788</v>
      </c>
      <c r="EF29" s="288" t="s">
        <v>789</v>
      </c>
      <c r="EG29" s="288" t="s">
        <v>429</v>
      </c>
      <c r="EH29" s="288" t="s">
        <v>429</v>
      </c>
      <c r="EI29" s="287">
        <v>0</v>
      </c>
      <c r="EJ29" s="287">
        <v>45062044677</v>
      </c>
      <c r="EK29" s="287">
        <v>43502654889</v>
      </c>
      <c r="EL29" s="358">
        <f t="shared" si="35"/>
        <v>0</v>
      </c>
      <c r="EM29" s="358">
        <f t="shared" si="36"/>
        <v>45062044.677000001</v>
      </c>
      <c r="EN29" s="358">
        <f t="shared" si="37"/>
        <v>43502654.888999999</v>
      </c>
      <c r="EV29" s="357"/>
      <c r="EY29" s="286" t="s">
        <v>788</v>
      </c>
      <c r="EZ29" s="288" t="s">
        <v>789</v>
      </c>
      <c r="FA29" s="288" t="s">
        <v>429</v>
      </c>
      <c r="FB29" s="288" t="s">
        <v>429</v>
      </c>
      <c r="FC29" s="287">
        <v>0</v>
      </c>
      <c r="FD29" s="287">
        <v>51896771939</v>
      </c>
      <c r="FE29" s="287">
        <v>57358905693</v>
      </c>
      <c r="FF29" s="357">
        <f t="shared" si="39"/>
        <v>0</v>
      </c>
      <c r="FG29" s="357">
        <f t="shared" si="40"/>
        <v>51896771.939000003</v>
      </c>
      <c r="FH29" s="357">
        <f t="shared" si="41"/>
        <v>57358905.693000004</v>
      </c>
      <c r="FR29" s="364" t="s">
        <v>788</v>
      </c>
      <c r="FS29" s="280" t="s">
        <v>789</v>
      </c>
      <c r="FT29" s="280" t="s">
        <v>429</v>
      </c>
      <c r="FU29" s="280" t="s">
        <v>429</v>
      </c>
      <c r="FV29" s="357">
        <v>0</v>
      </c>
      <c r="FW29" s="357">
        <v>64475514672</v>
      </c>
      <c r="FX29" s="357">
        <v>62518009650</v>
      </c>
      <c r="FY29" s="306">
        <f t="shared" si="43"/>
        <v>0</v>
      </c>
      <c r="FZ29" s="306">
        <f t="shared" si="44"/>
        <v>64475514.671999998</v>
      </c>
      <c r="GA29" s="306">
        <f t="shared" si="45"/>
        <v>62518009.649999999</v>
      </c>
      <c r="GK29" s="280" t="s">
        <v>788</v>
      </c>
      <c r="GL29" s="280" t="s">
        <v>789</v>
      </c>
      <c r="GM29" s="280" t="s">
        <v>429</v>
      </c>
      <c r="GN29" s="280" t="s">
        <v>429</v>
      </c>
      <c r="GO29" s="357">
        <v>65757818004</v>
      </c>
      <c r="GP29" s="357">
        <v>0</v>
      </c>
      <c r="GQ29" s="357">
        <v>0</v>
      </c>
      <c r="GR29" s="357">
        <f t="shared" si="47"/>
        <v>65757818.004000001</v>
      </c>
      <c r="GS29" s="357">
        <f t="shared" si="48"/>
        <v>0</v>
      </c>
      <c r="GT29" s="357">
        <f t="shared" si="49"/>
        <v>0</v>
      </c>
      <c r="HC29" s="280" t="s">
        <v>788</v>
      </c>
      <c r="HD29" s="280" t="s">
        <v>789</v>
      </c>
      <c r="HE29" s="280" t="s">
        <v>429</v>
      </c>
      <c r="HF29" s="280" t="s">
        <v>429</v>
      </c>
      <c r="HG29" s="305">
        <v>66022870992</v>
      </c>
      <c r="HH29" s="305">
        <v>0</v>
      </c>
      <c r="HI29" s="305">
        <v>0</v>
      </c>
      <c r="HJ29" s="305">
        <f t="shared" si="51"/>
        <v>66022870.991999999</v>
      </c>
      <c r="HK29" s="305">
        <f t="shared" si="52"/>
        <v>0</v>
      </c>
      <c r="HL29" s="305">
        <f t="shared" si="53"/>
        <v>0</v>
      </c>
    </row>
    <row r="30" spans="1:220" ht="15" customHeight="1" x14ac:dyDescent="0.2">
      <c r="A30" s="286" t="s">
        <v>804</v>
      </c>
      <c r="B30" s="288" t="s">
        <v>805</v>
      </c>
      <c r="C30" s="286" t="s">
        <v>429</v>
      </c>
      <c r="D30" s="288" t="s">
        <v>429</v>
      </c>
      <c r="E30" s="287">
        <v>21595077658</v>
      </c>
      <c r="F30" s="287">
        <v>0</v>
      </c>
      <c r="G30" s="287">
        <v>0</v>
      </c>
      <c r="H30" s="287">
        <f t="shared" si="7"/>
        <v>22502070.919636</v>
      </c>
      <c r="I30" s="287">
        <f t="shared" si="8"/>
        <v>0</v>
      </c>
      <c r="J30" s="287">
        <f t="shared" si="9"/>
        <v>0</v>
      </c>
      <c r="T30" s="395" t="s">
        <v>798</v>
      </c>
      <c r="U30" s="396" t="s">
        <v>799</v>
      </c>
      <c r="V30" s="395" t="s">
        <v>429</v>
      </c>
      <c r="W30" s="396" t="s">
        <v>429</v>
      </c>
      <c r="X30" s="397">
        <v>2690153131</v>
      </c>
      <c r="Y30" s="397">
        <v>0</v>
      </c>
      <c r="Z30" s="397">
        <v>0</v>
      </c>
      <c r="AA30" s="358">
        <f t="shared" si="11"/>
        <v>2803139.562502</v>
      </c>
      <c r="AB30" s="358">
        <f t="shared" si="12"/>
        <v>0</v>
      </c>
      <c r="AC30" s="358">
        <f t="shared" si="13"/>
        <v>0</v>
      </c>
      <c r="AM30" s="288" t="s">
        <v>794</v>
      </c>
      <c r="AN30" s="288" t="s">
        <v>795</v>
      </c>
      <c r="AO30" s="288" t="s">
        <v>429</v>
      </c>
      <c r="AP30" s="288" t="s">
        <v>429</v>
      </c>
      <c r="AQ30" s="288" t="s">
        <v>516</v>
      </c>
      <c r="AR30" s="398">
        <v>5646832011</v>
      </c>
      <c r="AS30" s="398">
        <v>0</v>
      </c>
      <c r="AT30" s="398">
        <v>0</v>
      </c>
      <c r="AU30" s="398">
        <f t="shared" si="15"/>
        <v>5646832.0109999999</v>
      </c>
      <c r="AV30" s="398">
        <f t="shared" si="16"/>
        <v>0</v>
      </c>
      <c r="AW30" s="398">
        <f t="shared" si="17"/>
        <v>0</v>
      </c>
      <c r="BF30" s="365" t="s">
        <v>794</v>
      </c>
      <c r="BG30" s="399" t="s">
        <v>795</v>
      </c>
      <c r="BH30" s="286" t="s">
        <v>429</v>
      </c>
      <c r="BI30" s="288" t="s">
        <v>429</v>
      </c>
      <c r="BJ30" s="366">
        <v>5646832011</v>
      </c>
      <c r="BK30" s="366">
        <v>0</v>
      </c>
      <c r="BL30" s="366">
        <v>0</v>
      </c>
      <c r="BM30" s="366">
        <f t="shared" si="19"/>
        <v>5646832.0109999999</v>
      </c>
      <c r="BN30" s="366">
        <f t="shared" si="20"/>
        <v>0</v>
      </c>
      <c r="BO30" s="366">
        <f t="shared" si="21"/>
        <v>0</v>
      </c>
      <c r="BY30" s="286" t="s">
        <v>792</v>
      </c>
      <c r="BZ30" s="286" t="s">
        <v>793</v>
      </c>
      <c r="CA30" s="286" t="s">
        <v>429</v>
      </c>
      <c r="CB30" s="286" t="s">
        <v>429</v>
      </c>
      <c r="CC30" s="288" t="s">
        <v>516</v>
      </c>
      <c r="CD30" s="287">
        <v>551011000</v>
      </c>
      <c r="CE30" s="287">
        <v>0</v>
      </c>
      <c r="CF30" s="287">
        <v>0</v>
      </c>
      <c r="CG30" s="287">
        <f t="shared" si="23"/>
        <v>551011</v>
      </c>
      <c r="CH30" s="287">
        <f t="shared" si="24"/>
        <v>0</v>
      </c>
      <c r="CI30" s="287">
        <f t="shared" si="25"/>
        <v>0</v>
      </c>
      <c r="CR30" s="288" t="s">
        <v>790</v>
      </c>
      <c r="CS30" s="288" t="s">
        <v>791</v>
      </c>
      <c r="CT30" s="288" t="s">
        <v>429</v>
      </c>
      <c r="CU30" s="288" t="s">
        <v>429</v>
      </c>
      <c r="CV30" s="287">
        <v>18191430498</v>
      </c>
      <c r="CW30" s="287">
        <v>0</v>
      </c>
      <c r="CX30" s="287">
        <v>0</v>
      </c>
      <c r="CY30" s="287">
        <f t="shared" si="27"/>
        <v>18191430.498</v>
      </c>
      <c r="CZ30" s="287">
        <f t="shared" si="28"/>
        <v>0</v>
      </c>
      <c r="DA30" s="287">
        <f t="shared" si="29"/>
        <v>0</v>
      </c>
      <c r="DK30" s="286" t="s">
        <v>790</v>
      </c>
      <c r="DL30" s="288" t="s">
        <v>791</v>
      </c>
      <c r="DM30" s="286" t="s">
        <v>429</v>
      </c>
      <c r="DN30" s="288" t="s">
        <v>429</v>
      </c>
      <c r="DO30" s="287">
        <v>18327430498</v>
      </c>
      <c r="DP30" s="287">
        <v>0</v>
      </c>
      <c r="DQ30" s="287">
        <v>0</v>
      </c>
      <c r="DR30" s="287">
        <f t="shared" si="31"/>
        <v>18327430.498</v>
      </c>
      <c r="DS30" s="287">
        <f t="shared" si="32"/>
        <v>0</v>
      </c>
      <c r="DT30" s="287">
        <f t="shared" si="33"/>
        <v>0</v>
      </c>
      <c r="EE30" s="286" t="s">
        <v>790</v>
      </c>
      <c r="EF30" s="288" t="s">
        <v>791</v>
      </c>
      <c r="EG30" s="288" t="s">
        <v>429</v>
      </c>
      <c r="EH30" s="288" t="s">
        <v>429</v>
      </c>
      <c r="EI30" s="287">
        <v>18345247258</v>
      </c>
      <c r="EJ30" s="287">
        <v>0</v>
      </c>
      <c r="EK30" s="287">
        <v>0</v>
      </c>
      <c r="EL30" s="358">
        <f t="shared" si="35"/>
        <v>18345247.258000001</v>
      </c>
      <c r="EM30" s="358">
        <f t="shared" si="36"/>
        <v>0</v>
      </c>
      <c r="EN30" s="358">
        <f t="shared" si="37"/>
        <v>0</v>
      </c>
      <c r="EV30" s="357"/>
      <c r="EY30" s="286" t="s">
        <v>790</v>
      </c>
      <c r="EZ30" s="288" t="s">
        <v>791</v>
      </c>
      <c r="FA30" s="288" t="s">
        <v>429</v>
      </c>
      <c r="FB30" s="288" t="s">
        <v>429</v>
      </c>
      <c r="FC30" s="287">
        <v>18345247258</v>
      </c>
      <c r="FD30" s="287">
        <v>0</v>
      </c>
      <c r="FE30" s="287">
        <v>0</v>
      </c>
      <c r="FF30" s="357">
        <f t="shared" si="39"/>
        <v>18345247.258000001</v>
      </c>
      <c r="FG30" s="357">
        <f t="shared" si="40"/>
        <v>0</v>
      </c>
      <c r="FH30" s="357">
        <f t="shared" si="41"/>
        <v>0</v>
      </c>
      <c r="FR30" s="364" t="s">
        <v>790</v>
      </c>
      <c r="FS30" s="280" t="s">
        <v>791</v>
      </c>
      <c r="FT30" s="280" t="s">
        <v>429</v>
      </c>
      <c r="FU30" s="280" t="s">
        <v>429</v>
      </c>
      <c r="FV30" s="357">
        <v>18345247258</v>
      </c>
      <c r="FW30" s="357">
        <v>0</v>
      </c>
      <c r="FX30" s="357">
        <v>0</v>
      </c>
      <c r="FY30" s="306">
        <f t="shared" si="43"/>
        <v>18345247.258000001</v>
      </c>
      <c r="FZ30" s="306">
        <f t="shared" si="44"/>
        <v>0</v>
      </c>
      <c r="GA30" s="306">
        <f t="shared" si="45"/>
        <v>0</v>
      </c>
      <c r="GK30" s="280" t="s">
        <v>788</v>
      </c>
      <c r="GL30" s="280" t="s">
        <v>789</v>
      </c>
      <c r="GM30" s="280" t="s">
        <v>429</v>
      </c>
      <c r="GN30" s="280" t="s">
        <v>429</v>
      </c>
      <c r="GO30" s="357">
        <v>0</v>
      </c>
      <c r="GP30" s="357">
        <v>65066638386</v>
      </c>
      <c r="GQ30" s="357">
        <v>63554571623</v>
      </c>
      <c r="GR30" s="357">
        <f t="shared" si="47"/>
        <v>0</v>
      </c>
      <c r="GS30" s="357">
        <f t="shared" si="48"/>
        <v>65066638.386</v>
      </c>
      <c r="GT30" s="357">
        <f t="shared" si="49"/>
        <v>63554571.623000003</v>
      </c>
      <c r="HC30" s="280" t="s">
        <v>788</v>
      </c>
      <c r="HD30" s="280" t="s">
        <v>789</v>
      </c>
      <c r="HE30" s="280" t="s">
        <v>429</v>
      </c>
      <c r="HF30" s="280" t="s">
        <v>429</v>
      </c>
      <c r="HG30" s="305">
        <v>0</v>
      </c>
      <c r="HH30" s="305">
        <v>65899712336</v>
      </c>
      <c r="HI30" s="305">
        <v>66022870992</v>
      </c>
      <c r="HJ30" s="305">
        <f t="shared" si="51"/>
        <v>0</v>
      </c>
      <c r="HK30" s="305">
        <f t="shared" si="52"/>
        <v>65899712.336000003</v>
      </c>
      <c r="HL30" s="305">
        <f t="shared" si="53"/>
        <v>66022870.991999999</v>
      </c>
    </row>
    <row r="31" spans="1:220" ht="15" customHeight="1" x14ac:dyDescent="0.2">
      <c r="A31" s="286" t="s">
        <v>804</v>
      </c>
      <c r="B31" s="288" t="s">
        <v>805</v>
      </c>
      <c r="C31" s="286" t="s">
        <v>429</v>
      </c>
      <c r="D31" s="288" t="s">
        <v>429</v>
      </c>
      <c r="E31" s="287">
        <v>0</v>
      </c>
      <c r="F31" s="287">
        <v>214429091</v>
      </c>
      <c r="G31" s="287">
        <v>214429091</v>
      </c>
      <c r="H31" s="287">
        <f t="shared" si="7"/>
        <v>0</v>
      </c>
      <c r="I31" s="287">
        <f t="shared" si="8"/>
        <v>223435.112822</v>
      </c>
      <c r="J31" s="287">
        <f t="shared" si="9"/>
        <v>223435.112822</v>
      </c>
      <c r="T31" s="395" t="s">
        <v>800</v>
      </c>
      <c r="U31" s="396" t="s">
        <v>801</v>
      </c>
      <c r="V31" s="395" t="s">
        <v>429</v>
      </c>
      <c r="W31" s="396" t="s">
        <v>429</v>
      </c>
      <c r="X31" s="397">
        <v>1767372802</v>
      </c>
      <c r="Y31" s="397">
        <v>0</v>
      </c>
      <c r="Z31" s="397">
        <v>0</v>
      </c>
      <c r="AA31" s="358">
        <f t="shared" si="11"/>
        <v>1841602.4596839999</v>
      </c>
      <c r="AB31" s="358">
        <f t="shared" si="12"/>
        <v>0</v>
      </c>
      <c r="AC31" s="358">
        <f t="shared" si="13"/>
        <v>0</v>
      </c>
      <c r="AM31" s="288" t="s">
        <v>794</v>
      </c>
      <c r="AN31" s="288" t="s">
        <v>795</v>
      </c>
      <c r="AO31" s="288" t="s">
        <v>429</v>
      </c>
      <c r="AP31" s="288" t="s">
        <v>429</v>
      </c>
      <c r="AQ31" s="288" t="s">
        <v>516</v>
      </c>
      <c r="AR31" s="398">
        <v>0</v>
      </c>
      <c r="AS31" s="398">
        <v>1021501113</v>
      </c>
      <c r="AT31" s="398">
        <v>701509113</v>
      </c>
      <c r="AU31" s="398">
        <f t="shared" si="15"/>
        <v>0</v>
      </c>
      <c r="AV31" s="398">
        <f t="shared" si="16"/>
        <v>1021501.113</v>
      </c>
      <c r="AW31" s="398">
        <f t="shared" si="17"/>
        <v>701509.11300000001</v>
      </c>
      <c r="BF31" s="365" t="s">
        <v>794</v>
      </c>
      <c r="BG31" s="399" t="s">
        <v>795</v>
      </c>
      <c r="BH31" s="286" t="s">
        <v>429</v>
      </c>
      <c r="BI31" s="288" t="s">
        <v>429</v>
      </c>
      <c r="BJ31" s="366">
        <v>0</v>
      </c>
      <c r="BK31" s="366">
        <v>1828918310</v>
      </c>
      <c r="BL31" s="366">
        <v>1765860310</v>
      </c>
      <c r="BM31" s="366">
        <f t="shared" si="19"/>
        <v>0</v>
      </c>
      <c r="BN31" s="366">
        <f t="shared" si="20"/>
        <v>1828918.31</v>
      </c>
      <c r="BO31" s="366">
        <f t="shared" si="21"/>
        <v>1765860.31</v>
      </c>
      <c r="BY31" s="286" t="s">
        <v>792</v>
      </c>
      <c r="BZ31" s="286" t="s">
        <v>793</v>
      </c>
      <c r="CA31" s="286" t="s">
        <v>429</v>
      </c>
      <c r="CB31" s="286" t="s">
        <v>429</v>
      </c>
      <c r="CC31" s="288" t="s">
        <v>516</v>
      </c>
      <c r="CD31" s="287">
        <v>0</v>
      </c>
      <c r="CE31" s="287">
        <v>448894927</v>
      </c>
      <c r="CF31" s="287">
        <v>448894927</v>
      </c>
      <c r="CG31" s="287">
        <f t="shared" si="23"/>
        <v>0</v>
      </c>
      <c r="CH31" s="287">
        <f t="shared" si="24"/>
        <v>448894.92700000003</v>
      </c>
      <c r="CI31" s="287">
        <f t="shared" si="25"/>
        <v>448894.92700000003</v>
      </c>
      <c r="CR31" s="288" t="s">
        <v>790</v>
      </c>
      <c r="CS31" s="288" t="s">
        <v>791</v>
      </c>
      <c r="CT31" s="288" t="s">
        <v>429</v>
      </c>
      <c r="CU31" s="288" t="s">
        <v>429</v>
      </c>
      <c r="CV31" s="287">
        <v>0</v>
      </c>
      <c r="CW31" s="287">
        <v>10553181989</v>
      </c>
      <c r="CX31" s="287">
        <v>10332464544</v>
      </c>
      <c r="CY31" s="287">
        <f t="shared" si="27"/>
        <v>0</v>
      </c>
      <c r="CZ31" s="287">
        <f t="shared" si="28"/>
        <v>10553181.989</v>
      </c>
      <c r="DA31" s="287">
        <f t="shared" si="29"/>
        <v>10332464.544</v>
      </c>
      <c r="DK31" s="286" t="s">
        <v>790</v>
      </c>
      <c r="DL31" s="288" t="s">
        <v>791</v>
      </c>
      <c r="DM31" s="286" t="s">
        <v>429</v>
      </c>
      <c r="DN31" s="288" t="s">
        <v>429</v>
      </c>
      <c r="DO31" s="287">
        <v>0</v>
      </c>
      <c r="DP31" s="287">
        <v>18326698914</v>
      </c>
      <c r="DQ31" s="287">
        <v>12107293197</v>
      </c>
      <c r="DR31" s="287">
        <f t="shared" si="31"/>
        <v>0</v>
      </c>
      <c r="DS31" s="287">
        <f t="shared" si="32"/>
        <v>18326698.914000001</v>
      </c>
      <c r="DT31" s="287">
        <f t="shared" si="33"/>
        <v>12107293.197000001</v>
      </c>
      <c r="EE31" s="286" t="s">
        <v>790</v>
      </c>
      <c r="EF31" s="288" t="s">
        <v>791</v>
      </c>
      <c r="EG31" s="288" t="s">
        <v>429</v>
      </c>
      <c r="EH31" s="288" t="s">
        <v>429</v>
      </c>
      <c r="EI31" s="287">
        <v>0</v>
      </c>
      <c r="EJ31" s="287">
        <v>18326698914</v>
      </c>
      <c r="EK31" s="287">
        <v>14239562107</v>
      </c>
      <c r="EL31" s="358">
        <f t="shared" si="35"/>
        <v>0</v>
      </c>
      <c r="EM31" s="358">
        <f t="shared" si="36"/>
        <v>18326698.914000001</v>
      </c>
      <c r="EN31" s="358">
        <f t="shared" si="37"/>
        <v>14239562.107000001</v>
      </c>
      <c r="EV31" s="357"/>
      <c r="EY31" s="286" t="s">
        <v>790</v>
      </c>
      <c r="EZ31" s="288" t="s">
        <v>791</v>
      </c>
      <c r="FA31" s="288" t="s">
        <v>429</v>
      </c>
      <c r="FB31" s="288" t="s">
        <v>429</v>
      </c>
      <c r="FC31" s="287">
        <v>0</v>
      </c>
      <c r="FD31" s="287">
        <v>14239562107</v>
      </c>
      <c r="FE31" s="287">
        <v>18326698914</v>
      </c>
      <c r="FF31" s="357">
        <f t="shared" si="39"/>
        <v>0</v>
      </c>
      <c r="FG31" s="357">
        <f t="shared" si="40"/>
        <v>14239562.107000001</v>
      </c>
      <c r="FH31" s="357">
        <f t="shared" si="41"/>
        <v>18326698.914000001</v>
      </c>
      <c r="FR31" s="364" t="s">
        <v>790</v>
      </c>
      <c r="FS31" s="280" t="s">
        <v>791</v>
      </c>
      <c r="FT31" s="280" t="s">
        <v>429</v>
      </c>
      <c r="FU31" s="280" t="s">
        <v>429</v>
      </c>
      <c r="FV31" s="357">
        <v>0</v>
      </c>
      <c r="FW31" s="357">
        <v>18344511674</v>
      </c>
      <c r="FX31" s="357">
        <v>18046852969</v>
      </c>
      <c r="FY31" s="306">
        <f t="shared" si="43"/>
        <v>0</v>
      </c>
      <c r="FZ31" s="306">
        <f t="shared" si="44"/>
        <v>18344511.673999999</v>
      </c>
      <c r="GA31" s="306">
        <f t="shared" si="45"/>
        <v>18046852.969000001</v>
      </c>
      <c r="GK31" s="280" t="s">
        <v>790</v>
      </c>
      <c r="GL31" s="280" t="s">
        <v>791</v>
      </c>
      <c r="GM31" s="280" t="s">
        <v>429</v>
      </c>
      <c r="GN31" s="280" t="s">
        <v>429</v>
      </c>
      <c r="GO31" s="357">
        <v>18345247258</v>
      </c>
      <c r="GP31" s="357">
        <v>0</v>
      </c>
      <c r="GQ31" s="357">
        <v>0</v>
      </c>
      <c r="GR31" s="357">
        <f t="shared" si="47"/>
        <v>18345247.258000001</v>
      </c>
      <c r="GS31" s="357">
        <f t="shared" si="48"/>
        <v>0</v>
      </c>
      <c r="GT31" s="357">
        <f t="shared" si="49"/>
        <v>0</v>
      </c>
      <c r="HC31" s="280" t="s">
        <v>790</v>
      </c>
      <c r="HD31" s="280" t="s">
        <v>791</v>
      </c>
      <c r="HE31" s="280" t="s">
        <v>429</v>
      </c>
      <c r="HF31" s="280" t="s">
        <v>429</v>
      </c>
      <c r="HG31" s="305">
        <v>18111122129</v>
      </c>
      <c r="HH31" s="305">
        <v>0</v>
      </c>
      <c r="HI31" s="305">
        <v>0</v>
      </c>
      <c r="HJ31" s="305">
        <f t="shared" si="51"/>
        <v>18111122.129000001</v>
      </c>
      <c r="HK31" s="305">
        <f t="shared" si="52"/>
        <v>0</v>
      </c>
      <c r="HL31" s="305">
        <f t="shared" si="53"/>
        <v>0</v>
      </c>
    </row>
    <row r="32" spans="1:220" ht="15" customHeight="1" x14ac:dyDescent="0.2">
      <c r="A32" s="286" t="s">
        <v>806</v>
      </c>
      <c r="B32" s="288" t="s">
        <v>807</v>
      </c>
      <c r="C32" s="286" t="s">
        <v>429</v>
      </c>
      <c r="D32" s="288" t="s">
        <v>429</v>
      </c>
      <c r="E32" s="287">
        <v>9719640000</v>
      </c>
      <c r="F32" s="287">
        <v>0</v>
      </c>
      <c r="G32" s="287">
        <v>0</v>
      </c>
      <c r="H32" s="287">
        <f t="shared" si="7"/>
        <v>10127864.880000001</v>
      </c>
      <c r="I32" s="287">
        <f t="shared" si="8"/>
        <v>0</v>
      </c>
      <c r="J32" s="287">
        <f t="shared" si="9"/>
        <v>0</v>
      </c>
      <c r="T32" s="395" t="s">
        <v>800</v>
      </c>
      <c r="U32" s="396" t="s">
        <v>801</v>
      </c>
      <c r="V32" s="395" t="s">
        <v>429</v>
      </c>
      <c r="W32" s="396" t="s">
        <v>429</v>
      </c>
      <c r="X32" s="397">
        <v>0</v>
      </c>
      <c r="Y32" s="397">
        <v>36200000</v>
      </c>
      <c r="Z32" s="397">
        <v>36200000</v>
      </c>
      <c r="AA32" s="358">
        <f t="shared" si="11"/>
        <v>0</v>
      </c>
      <c r="AB32" s="358">
        <f t="shared" si="12"/>
        <v>37720.400000000001</v>
      </c>
      <c r="AC32" s="358">
        <f t="shared" si="13"/>
        <v>37720.400000000001</v>
      </c>
      <c r="AM32" s="288" t="s">
        <v>796</v>
      </c>
      <c r="AN32" s="288" t="s">
        <v>797</v>
      </c>
      <c r="AO32" s="288" t="s">
        <v>429</v>
      </c>
      <c r="AP32" s="288" t="s">
        <v>429</v>
      </c>
      <c r="AQ32" s="288" t="s">
        <v>516</v>
      </c>
      <c r="AR32" s="398">
        <v>3167999214</v>
      </c>
      <c r="AS32" s="398">
        <v>0</v>
      </c>
      <c r="AT32" s="398">
        <v>0</v>
      </c>
      <c r="AU32" s="398">
        <f t="shared" si="15"/>
        <v>3167999.2140000002</v>
      </c>
      <c r="AV32" s="398">
        <f t="shared" si="16"/>
        <v>0</v>
      </c>
      <c r="AW32" s="398">
        <f t="shared" si="17"/>
        <v>0</v>
      </c>
      <c r="BF32" s="365" t="s">
        <v>796</v>
      </c>
      <c r="BG32" s="399" t="s">
        <v>797</v>
      </c>
      <c r="BH32" s="286" t="s">
        <v>429</v>
      </c>
      <c r="BI32" s="288" t="s">
        <v>429</v>
      </c>
      <c r="BJ32" s="366">
        <v>3167999214</v>
      </c>
      <c r="BK32" s="366">
        <v>0</v>
      </c>
      <c r="BL32" s="366">
        <v>0</v>
      </c>
      <c r="BM32" s="366">
        <f t="shared" si="19"/>
        <v>3167999.2140000002</v>
      </c>
      <c r="BN32" s="366">
        <f t="shared" si="20"/>
        <v>0</v>
      </c>
      <c r="BO32" s="366">
        <f t="shared" si="21"/>
        <v>0</v>
      </c>
      <c r="BY32" s="286" t="s">
        <v>794</v>
      </c>
      <c r="BZ32" s="286" t="s">
        <v>795</v>
      </c>
      <c r="CA32" s="286" t="s">
        <v>429</v>
      </c>
      <c r="CB32" s="286" t="s">
        <v>429</v>
      </c>
      <c r="CC32" s="288" t="s">
        <v>516</v>
      </c>
      <c r="CD32" s="287">
        <v>5646832011</v>
      </c>
      <c r="CE32" s="287">
        <v>0</v>
      </c>
      <c r="CF32" s="287">
        <v>0</v>
      </c>
      <c r="CG32" s="287">
        <f t="shared" si="23"/>
        <v>5646832.0109999999</v>
      </c>
      <c r="CH32" s="287">
        <f t="shared" si="24"/>
        <v>0</v>
      </c>
      <c r="CI32" s="287">
        <f t="shared" si="25"/>
        <v>0</v>
      </c>
      <c r="CR32" s="288" t="s">
        <v>792</v>
      </c>
      <c r="CS32" s="288" t="s">
        <v>793</v>
      </c>
      <c r="CT32" s="288" t="s">
        <v>429</v>
      </c>
      <c r="CU32" s="288" t="s">
        <v>429</v>
      </c>
      <c r="CV32" s="287">
        <v>551011000</v>
      </c>
      <c r="CW32" s="287">
        <v>0</v>
      </c>
      <c r="CX32" s="287">
        <v>0</v>
      </c>
      <c r="CY32" s="287">
        <f t="shared" si="27"/>
        <v>551011</v>
      </c>
      <c r="CZ32" s="287">
        <f t="shared" si="28"/>
        <v>0</v>
      </c>
      <c r="DA32" s="287">
        <f t="shared" si="29"/>
        <v>0</v>
      </c>
      <c r="DK32" s="286" t="s">
        <v>792</v>
      </c>
      <c r="DL32" s="288" t="s">
        <v>793</v>
      </c>
      <c r="DM32" s="286" t="s">
        <v>429</v>
      </c>
      <c r="DN32" s="288" t="s">
        <v>429</v>
      </c>
      <c r="DO32" s="287">
        <v>551011000</v>
      </c>
      <c r="DP32" s="287">
        <v>0</v>
      </c>
      <c r="DQ32" s="287">
        <v>0</v>
      </c>
      <c r="DR32" s="287">
        <f t="shared" si="31"/>
        <v>551011</v>
      </c>
      <c r="DS32" s="287">
        <f t="shared" si="32"/>
        <v>0</v>
      </c>
      <c r="DT32" s="287">
        <f t="shared" si="33"/>
        <v>0</v>
      </c>
      <c r="EE32" s="286" t="s">
        <v>792</v>
      </c>
      <c r="EF32" s="288" t="s">
        <v>793</v>
      </c>
      <c r="EG32" s="288" t="s">
        <v>429</v>
      </c>
      <c r="EH32" s="288" t="s">
        <v>429</v>
      </c>
      <c r="EI32" s="287">
        <v>551011000</v>
      </c>
      <c r="EJ32" s="287">
        <v>0</v>
      </c>
      <c r="EK32" s="287">
        <v>0</v>
      </c>
      <c r="EL32" s="358">
        <f t="shared" si="35"/>
        <v>551011</v>
      </c>
      <c r="EM32" s="358">
        <f t="shared" si="36"/>
        <v>0</v>
      </c>
      <c r="EN32" s="358">
        <f t="shared" si="37"/>
        <v>0</v>
      </c>
      <c r="EV32" s="357"/>
      <c r="EY32" s="286" t="s">
        <v>792</v>
      </c>
      <c r="EZ32" s="288" t="s">
        <v>793</v>
      </c>
      <c r="FA32" s="288" t="s">
        <v>429</v>
      </c>
      <c r="FB32" s="288" t="s">
        <v>429</v>
      </c>
      <c r="FC32" s="287">
        <v>765340998</v>
      </c>
      <c r="FD32" s="287">
        <v>0</v>
      </c>
      <c r="FE32" s="287">
        <v>0</v>
      </c>
      <c r="FF32" s="357">
        <f t="shared" si="39"/>
        <v>765340.99800000002</v>
      </c>
      <c r="FG32" s="357">
        <f t="shared" si="40"/>
        <v>0</v>
      </c>
      <c r="FH32" s="357">
        <f t="shared" si="41"/>
        <v>0</v>
      </c>
      <c r="FR32" s="364" t="s">
        <v>792</v>
      </c>
      <c r="FS32" s="280" t="s">
        <v>793</v>
      </c>
      <c r="FT32" s="280" t="s">
        <v>429</v>
      </c>
      <c r="FU32" s="280" t="s">
        <v>429</v>
      </c>
      <c r="FV32" s="357">
        <v>765340998</v>
      </c>
      <c r="FW32" s="357">
        <v>0</v>
      </c>
      <c r="FX32" s="357">
        <v>0</v>
      </c>
      <c r="FY32" s="306">
        <f t="shared" si="43"/>
        <v>765340.99800000002</v>
      </c>
      <c r="FZ32" s="306">
        <f t="shared" si="44"/>
        <v>0</v>
      </c>
      <c r="GA32" s="306">
        <f t="shared" si="45"/>
        <v>0</v>
      </c>
      <c r="GK32" s="280" t="s">
        <v>790</v>
      </c>
      <c r="GL32" s="280" t="s">
        <v>791</v>
      </c>
      <c r="GM32" s="280" t="s">
        <v>429</v>
      </c>
      <c r="GN32" s="280" t="s">
        <v>429</v>
      </c>
      <c r="GO32" s="357">
        <v>0</v>
      </c>
      <c r="GP32" s="357">
        <v>18344511674</v>
      </c>
      <c r="GQ32" s="357">
        <v>18094665729</v>
      </c>
      <c r="GR32" s="357">
        <f t="shared" si="47"/>
        <v>0</v>
      </c>
      <c r="GS32" s="357">
        <f t="shared" si="48"/>
        <v>18344511.673999999</v>
      </c>
      <c r="GT32" s="357">
        <f t="shared" si="49"/>
        <v>18094665.728999998</v>
      </c>
      <c r="HC32" s="280" t="s">
        <v>790</v>
      </c>
      <c r="HD32" s="280" t="s">
        <v>791</v>
      </c>
      <c r="HE32" s="280" t="s">
        <v>429</v>
      </c>
      <c r="HF32" s="280" t="s">
        <v>429</v>
      </c>
      <c r="HG32" s="305">
        <v>0</v>
      </c>
      <c r="HH32" s="305">
        <v>18094665729</v>
      </c>
      <c r="HI32" s="305">
        <v>18111122129</v>
      </c>
      <c r="HJ32" s="305">
        <f t="shared" si="51"/>
        <v>0</v>
      </c>
      <c r="HK32" s="305">
        <f t="shared" si="52"/>
        <v>18094665.728999998</v>
      </c>
      <c r="HL32" s="305">
        <f t="shared" si="53"/>
        <v>18111122.129000001</v>
      </c>
    </row>
    <row r="33" spans="1:220" ht="15" customHeight="1" x14ac:dyDescent="0.2">
      <c r="A33" s="286" t="s">
        <v>430</v>
      </c>
      <c r="B33" s="288" t="s">
        <v>448</v>
      </c>
      <c r="C33" s="286" t="s">
        <v>429</v>
      </c>
      <c r="D33" s="288" t="s">
        <v>429</v>
      </c>
      <c r="E33" s="287">
        <v>17089021000</v>
      </c>
      <c r="F33" s="287">
        <v>0</v>
      </c>
      <c r="G33" s="287">
        <v>0</v>
      </c>
      <c r="H33" s="287">
        <f t="shared" si="7"/>
        <v>17806759.881999999</v>
      </c>
      <c r="I33" s="287">
        <f t="shared" si="8"/>
        <v>0</v>
      </c>
      <c r="J33" s="287">
        <f t="shared" si="9"/>
        <v>0</v>
      </c>
      <c r="T33" s="395" t="s">
        <v>802</v>
      </c>
      <c r="U33" s="396" t="s">
        <v>803</v>
      </c>
      <c r="V33" s="395" t="s">
        <v>429</v>
      </c>
      <c r="W33" s="396" t="s">
        <v>429</v>
      </c>
      <c r="X33" s="397">
        <v>20808775000</v>
      </c>
      <c r="Y33" s="397">
        <v>0</v>
      </c>
      <c r="Z33" s="397">
        <v>0</v>
      </c>
      <c r="AA33" s="358">
        <f t="shared" si="11"/>
        <v>21682743.550000001</v>
      </c>
      <c r="AB33" s="358">
        <f t="shared" si="12"/>
        <v>0</v>
      </c>
      <c r="AC33" s="358">
        <f t="shared" si="13"/>
        <v>0</v>
      </c>
      <c r="AM33" s="288" t="s">
        <v>798</v>
      </c>
      <c r="AN33" s="288" t="s">
        <v>799</v>
      </c>
      <c r="AO33" s="288" t="s">
        <v>429</v>
      </c>
      <c r="AP33" s="288" t="s">
        <v>429</v>
      </c>
      <c r="AQ33" s="288" t="s">
        <v>516</v>
      </c>
      <c r="AR33" s="398">
        <v>2000153131</v>
      </c>
      <c r="AS33" s="398">
        <v>0</v>
      </c>
      <c r="AT33" s="398">
        <v>0</v>
      </c>
      <c r="AU33" s="398">
        <f t="shared" si="15"/>
        <v>2000153.1310000001</v>
      </c>
      <c r="AV33" s="398">
        <f t="shared" si="16"/>
        <v>0</v>
      </c>
      <c r="AW33" s="398">
        <f t="shared" si="17"/>
        <v>0</v>
      </c>
      <c r="BF33" s="365" t="s">
        <v>796</v>
      </c>
      <c r="BG33" s="399" t="s">
        <v>797</v>
      </c>
      <c r="BH33" s="286" t="s">
        <v>429</v>
      </c>
      <c r="BI33" s="288" t="s">
        <v>429</v>
      </c>
      <c r="BJ33" s="366">
        <v>0</v>
      </c>
      <c r="BK33" s="366">
        <v>406146000</v>
      </c>
      <c r="BL33" s="366">
        <v>406146000</v>
      </c>
      <c r="BM33" s="366">
        <f t="shared" si="19"/>
        <v>0</v>
      </c>
      <c r="BN33" s="366">
        <f t="shared" si="20"/>
        <v>406146</v>
      </c>
      <c r="BO33" s="366">
        <f t="shared" si="21"/>
        <v>406146</v>
      </c>
      <c r="BY33" s="286" t="s">
        <v>794</v>
      </c>
      <c r="BZ33" s="286" t="s">
        <v>795</v>
      </c>
      <c r="CA33" s="286" t="s">
        <v>429</v>
      </c>
      <c r="CB33" s="286" t="s">
        <v>429</v>
      </c>
      <c r="CC33" s="288" t="s">
        <v>516</v>
      </c>
      <c r="CD33" s="287">
        <v>0</v>
      </c>
      <c r="CE33" s="287">
        <v>3465298135</v>
      </c>
      <c r="CF33" s="287">
        <v>2895449074</v>
      </c>
      <c r="CG33" s="287">
        <f t="shared" si="23"/>
        <v>0</v>
      </c>
      <c r="CH33" s="287">
        <f t="shared" si="24"/>
        <v>3465298.1349999998</v>
      </c>
      <c r="CI33" s="287">
        <f t="shared" si="25"/>
        <v>2895449.074</v>
      </c>
      <c r="CR33" s="288" t="s">
        <v>792</v>
      </c>
      <c r="CS33" s="288" t="s">
        <v>793</v>
      </c>
      <c r="CT33" s="288" t="s">
        <v>429</v>
      </c>
      <c r="CU33" s="288" t="s">
        <v>429</v>
      </c>
      <c r="CV33" s="287">
        <v>0</v>
      </c>
      <c r="CW33" s="287">
        <v>458516226</v>
      </c>
      <c r="CX33" s="287">
        <v>448894927</v>
      </c>
      <c r="CY33" s="287">
        <f t="shared" si="27"/>
        <v>0</v>
      </c>
      <c r="CZ33" s="287">
        <f t="shared" si="28"/>
        <v>458516.22600000002</v>
      </c>
      <c r="DA33" s="287">
        <f t="shared" si="29"/>
        <v>448894.92700000003</v>
      </c>
      <c r="DK33" s="286" t="s">
        <v>792</v>
      </c>
      <c r="DL33" s="288" t="s">
        <v>793</v>
      </c>
      <c r="DM33" s="286" t="s">
        <v>429</v>
      </c>
      <c r="DN33" s="288" t="s">
        <v>429</v>
      </c>
      <c r="DO33" s="287">
        <v>0</v>
      </c>
      <c r="DP33" s="287">
        <v>533516225</v>
      </c>
      <c r="DQ33" s="287">
        <v>458516226</v>
      </c>
      <c r="DR33" s="287">
        <f t="shared" si="31"/>
        <v>0</v>
      </c>
      <c r="DS33" s="287">
        <f t="shared" si="32"/>
        <v>533516.22499999998</v>
      </c>
      <c r="DT33" s="287">
        <f t="shared" si="33"/>
        <v>458516.22600000002</v>
      </c>
      <c r="EE33" s="286" t="s">
        <v>792</v>
      </c>
      <c r="EF33" s="288" t="s">
        <v>793</v>
      </c>
      <c r="EG33" s="288" t="s">
        <v>429</v>
      </c>
      <c r="EH33" s="288" t="s">
        <v>429</v>
      </c>
      <c r="EI33" s="287">
        <v>0</v>
      </c>
      <c r="EJ33" s="287">
        <v>533516225</v>
      </c>
      <c r="EK33" s="287">
        <v>458516226</v>
      </c>
      <c r="EL33" s="358">
        <f t="shared" si="35"/>
        <v>0</v>
      </c>
      <c r="EM33" s="358">
        <f t="shared" si="36"/>
        <v>533516.22499999998</v>
      </c>
      <c r="EN33" s="358">
        <f t="shared" si="37"/>
        <v>458516.22600000002</v>
      </c>
      <c r="EV33" s="357"/>
      <c r="EY33" s="286" t="s">
        <v>792</v>
      </c>
      <c r="EZ33" s="288" t="s">
        <v>793</v>
      </c>
      <c r="FA33" s="288" t="s">
        <v>429</v>
      </c>
      <c r="FB33" s="288" t="s">
        <v>429</v>
      </c>
      <c r="FC33" s="287">
        <v>0</v>
      </c>
      <c r="FD33" s="287">
        <v>533516225</v>
      </c>
      <c r="FE33" s="287">
        <v>608516223</v>
      </c>
      <c r="FF33" s="357">
        <f t="shared" si="39"/>
        <v>0</v>
      </c>
      <c r="FG33" s="357">
        <f t="shared" si="40"/>
        <v>533516.22499999998</v>
      </c>
      <c r="FH33" s="357">
        <f t="shared" si="41"/>
        <v>608516.223</v>
      </c>
      <c r="FR33" s="364" t="s">
        <v>792</v>
      </c>
      <c r="FS33" s="280" t="s">
        <v>793</v>
      </c>
      <c r="FT33" s="280" t="s">
        <v>429</v>
      </c>
      <c r="FU33" s="280" t="s">
        <v>429</v>
      </c>
      <c r="FV33" s="357">
        <v>0</v>
      </c>
      <c r="FW33" s="357">
        <v>747840161</v>
      </c>
      <c r="FX33" s="357">
        <v>683116299</v>
      </c>
      <c r="FY33" s="306">
        <f t="shared" si="43"/>
        <v>0</v>
      </c>
      <c r="FZ33" s="306">
        <f t="shared" si="44"/>
        <v>747840.16099999996</v>
      </c>
      <c r="GA33" s="306">
        <f t="shared" si="45"/>
        <v>683116.299</v>
      </c>
      <c r="GK33" s="280" t="s">
        <v>792</v>
      </c>
      <c r="GL33" s="280" t="s">
        <v>793</v>
      </c>
      <c r="GM33" s="280" t="s">
        <v>429</v>
      </c>
      <c r="GN33" s="280" t="s">
        <v>429</v>
      </c>
      <c r="GO33" s="357">
        <v>765340998</v>
      </c>
      <c r="GP33" s="357">
        <v>0</v>
      </c>
      <c r="GQ33" s="357">
        <v>0</v>
      </c>
      <c r="GR33" s="357">
        <f t="shared" si="47"/>
        <v>765340.99800000002</v>
      </c>
      <c r="GS33" s="357">
        <f t="shared" si="48"/>
        <v>0</v>
      </c>
      <c r="GT33" s="357">
        <f t="shared" si="49"/>
        <v>0</v>
      </c>
      <c r="HC33" s="280" t="s">
        <v>792</v>
      </c>
      <c r="HD33" s="280" t="s">
        <v>793</v>
      </c>
      <c r="HE33" s="280" t="s">
        <v>429</v>
      </c>
      <c r="HF33" s="280" t="s">
        <v>429</v>
      </c>
      <c r="HG33" s="305">
        <v>748840161</v>
      </c>
      <c r="HH33" s="305">
        <v>0</v>
      </c>
      <c r="HI33" s="305">
        <v>0</v>
      </c>
      <c r="HJ33" s="305">
        <f t="shared" si="51"/>
        <v>748840.16099999996</v>
      </c>
      <c r="HK33" s="305">
        <f t="shared" si="52"/>
        <v>0</v>
      </c>
      <c r="HL33" s="305">
        <f t="shared" si="53"/>
        <v>0</v>
      </c>
    </row>
    <row r="34" spans="1:220" ht="15" customHeight="1" x14ac:dyDescent="0.2">
      <c r="A34" s="286" t="s">
        <v>433</v>
      </c>
      <c r="B34" s="288" t="s">
        <v>449</v>
      </c>
      <c r="C34" s="286" t="s">
        <v>429</v>
      </c>
      <c r="D34" s="288" t="s">
        <v>429</v>
      </c>
      <c r="E34" s="287">
        <v>8937547000</v>
      </c>
      <c r="F34" s="287">
        <v>0</v>
      </c>
      <c r="G34" s="287">
        <v>0</v>
      </c>
      <c r="H34" s="287">
        <f t="shared" si="7"/>
        <v>9312923.9739999995</v>
      </c>
      <c r="I34" s="287">
        <f t="shared" si="8"/>
        <v>0</v>
      </c>
      <c r="J34" s="287">
        <f t="shared" si="9"/>
        <v>0</v>
      </c>
      <c r="T34" s="395" t="s">
        <v>804</v>
      </c>
      <c r="U34" s="396" t="s">
        <v>805</v>
      </c>
      <c r="V34" s="395" t="s">
        <v>429</v>
      </c>
      <c r="W34" s="396" t="s">
        <v>429</v>
      </c>
      <c r="X34" s="397">
        <v>21595077659</v>
      </c>
      <c r="Y34" s="397">
        <v>0</v>
      </c>
      <c r="Z34" s="397">
        <v>0</v>
      </c>
      <c r="AA34" s="358">
        <f t="shared" si="11"/>
        <v>22502070.920678001</v>
      </c>
      <c r="AB34" s="358">
        <f t="shared" si="12"/>
        <v>0</v>
      </c>
      <c r="AC34" s="358">
        <f t="shared" si="13"/>
        <v>0</v>
      </c>
      <c r="AM34" s="288" t="s">
        <v>798</v>
      </c>
      <c r="AN34" s="288" t="s">
        <v>799</v>
      </c>
      <c r="AO34" s="288" t="s">
        <v>429</v>
      </c>
      <c r="AP34" s="288" t="s">
        <v>429</v>
      </c>
      <c r="AQ34" s="288" t="s">
        <v>516</v>
      </c>
      <c r="AR34" s="398">
        <v>0</v>
      </c>
      <c r="AS34" s="398">
        <v>271860000</v>
      </c>
      <c r="AT34" s="398">
        <v>88260000</v>
      </c>
      <c r="AU34" s="398">
        <f t="shared" si="15"/>
        <v>0</v>
      </c>
      <c r="AV34" s="398">
        <f t="shared" si="16"/>
        <v>271860</v>
      </c>
      <c r="AW34" s="398">
        <f t="shared" si="17"/>
        <v>88260</v>
      </c>
      <c r="BF34" s="365" t="s">
        <v>798</v>
      </c>
      <c r="BG34" s="399" t="s">
        <v>799</v>
      </c>
      <c r="BH34" s="286" t="s">
        <v>429</v>
      </c>
      <c r="BI34" s="288" t="s">
        <v>429</v>
      </c>
      <c r="BJ34" s="366">
        <v>2000153131</v>
      </c>
      <c r="BK34" s="366">
        <v>0</v>
      </c>
      <c r="BL34" s="366">
        <v>0</v>
      </c>
      <c r="BM34" s="366">
        <f t="shared" si="19"/>
        <v>2000153.1310000001</v>
      </c>
      <c r="BN34" s="366">
        <f t="shared" si="20"/>
        <v>0</v>
      </c>
      <c r="BO34" s="366">
        <f t="shared" si="21"/>
        <v>0</v>
      </c>
      <c r="BY34" s="286" t="s">
        <v>796</v>
      </c>
      <c r="BZ34" s="286" t="s">
        <v>797</v>
      </c>
      <c r="CA34" s="286" t="s">
        <v>429</v>
      </c>
      <c r="CB34" s="286" t="s">
        <v>429</v>
      </c>
      <c r="CC34" s="288" t="s">
        <v>516</v>
      </c>
      <c r="CD34" s="287">
        <v>3167999214</v>
      </c>
      <c r="CE34" s="287">
        <v>0</v>
      </c>
      <c r="CF34" s="287">
        <v>0</v>
      </c>
      <c r="CG34" s="287">
        <f t="shared" si="23"/>
        <v>3167999.2140000002</v>
      </c>
      <c r="CH34" s="287">
        <f t="shared" si="24"/>
        <v>0</v>
      </c>
      <c r="CI34" s="287">
        <f t="shared" si="25"/>
        <v>0</v>
      </c>
      <c r="CR34" s="288" t="s">
        <v>794</v>
      </c>
      <c r="CS34" s="288" t="s">
        <v>795</v>
      </c>
      <c r="CT34" s="288" t="s">
        <v>429</v>
      </c>
      <c r="CU34" s="288" t="s">
        <v>429</v>
      </c>
      <c r="CV34" s="287">
        <v>5646832011</v>
      </c>
      <c r="CW34" s="287">
        <v>0</v>
      </c>
      <c r="CX34" s="287">
        <v>0</v>
      </c>
      <c r="CY34" s="287">
        <f t="shared" si="27"/>
        <v>5646832.0109999999</v>
      </c>
      <c r="CZ34" s="287">
        <f t="shared" si="28"/>
        <v>0</v>
      </c>
      <c r="DA34" s="287">
        <f t="shared" si="29"/>
        <v>0</v>
      </c>
      <c r="DK34" s="286" t="s">
        <v>794</v>
      </c>
      <c r="DL34" s="288" t="s">
        <v>795</v>
      </c>
      <c r="DM34" s="286" t="s">
        <v>429</v>
      </c>
      <c r="DN34" s="288" t="s">
        <v>429</v>
      </c>
      <c r="DO34" s="287">
        <v>5659545556</v>
      </c>
      <c r="DP34" s="287">
        <v>0</v>
      </c>
      <c r="DQ34" s="287">
        <v>0</v>
      </c>
      <c r="DR34" s="287">
        <f t="shared" si="31"/>
        <v>5659545.5559999999</v>
      </c>
      <c r="DS34" s="287">
        <f t="shared" si="32"/>
        <v>0</v>
      </c>
      <c r="DT34" s="287">
        <f t="shared" si="33"/>
        <v>0</v>
      </c>
      <c r="EE34" s="286" t="s">
        <v>794</v>
      </c>
      <c r="EF34" s="288" t="s">
        <v>795</v>
      </c>
      <c r="EG34" s="288" t="s">
        <v>429</v>
      </c>
      <c r="EH34" s="288" t="s">
        <v>429</v>
      </c>
      <c r="EI34" s="287">
        <v>5949945556</v>
      </c>
      <c r="EJ34" s="287">
        <v>0</v>
      </c>
      <c r="EK34" s="287">
        <v>0</v>
      </c>
      <c r="EL34" s="358">
        <f t="shared" si="35"/>
        <v>5949945.5559999999</v>
      </c>
      <c r="EM34" s="358">
        <f t="shared" si="36"/>
        <v>0</v>
      </c>
      <c r="EN34" s="358">
        <f t="shared" si="37"/>
        <v>0</v>
      </c>
      <c r="EV34" s="357"/>
      <c r="EY34" s="286" t="s">
        <v>794</v>
      </c>
      <c r="EZ34" s="288" t="s">
        <v>795</v>
      </c>
      <c r="FA34" s="288" t="s">
        <v>429</v>
      </c>
      <c r="FB34" s="288" t="s">
        <v>429</v>
      </c>
      <c r="FC34" s="287">
        <v>7286138773</v>
      </c>
      <c r="FD34" s="287">
        <v>0</v>
      </c>
      <c r="FE34" s="287">
        <v>0</v>
      </c>
      <c r="FF34" s="357">
        <f t="shared" si="39"/>
        <v>7286138.773</v>
      </c>
      <c r="FG34" s="357">
        <f t="shared" si="40"/>
        <v>0</v>
      </c>
      <c r="FH34" s="357">
        <f t="shared" si="41"/>
        <v>0</v>
      </c>
      <c r="FR34" s="364" t="s">
        <v>794</v>
      </c>
      <c r="FS34" s="280" t="s">
        <v>795</v>
      </c>
      <c r="FT34" s="280" t="s">
        <v>429</v>
      </c>
      <c r="FU34" s="280" t="s">
        <v>429</v>
      </c>
      <c r="FV34" s="357">
        <v>7286138773</v>
      </c>
      <c r="FW34" s="357">
        <v>0</v>
      </c>
      <c r="FX34" s="357">
        <v>0</v>
      </c>
      <c r="FY34" s="306">
        <f t="shared" si="43"/>
        <v>7286138.773</v>
      </c>
      <c r="FZ34" s="306">
        <f t="shared" si="44"/>
        <v>0</v>
      </c>
      <c r="GA34" s="306">
        <f t="shared" si="45"/>
        <v>0</v>
      </c>
      <c r="GK34" s="280" t="s">
        <v>792</v>
      </c>
      <c r="GL34" s="280" t="s">
        <v>793</v>
      </c>
      <c r="GM34" s="280" t="s">
        <v>429</v>
      </c>
      <c r="GN34" s="280" t="s">
        <v>429</v>
      </c>
      <c r="GO34" s="357">
        <v>0</v>
      </c>
      <c r="GP34" s="357">
        <v>747840161</v>
      </c>
      <c r="GQ34" s="357">
        <v>747840161</v>
      </c>
      <c r="GR34" s="357">
        <f t="shared" si="47"/>
        <v>0</v>
      </c>
      <c r="GS34" s="357">
        <f t="shared" si="48"/>
        <v>747840.16099999996</v>
      </c>
      <c r="GT34" s="357">
        <f t="shared" si="49"/>
        <v>747840.16099999996</v>
      </c>
      <c r="HC34" s="280" t="s">
        <v>792</v>
      </c>
      <c r="HD34" s="280" t="s">
        <v>793</v>
      </c>
      <c r="HE34" s="280" t="s">
        <v>429</v>
      </c>
      <c r="HF34" s="280" t="s">
        <v>429</v>
      </c>
      <c r="HG34" s="305">
        <v>0</v>
      </c>
      <c r="HH34" s="305">
        <v>747840161</v>
      </c>
      <c r="HI34" s="305">
        <v>748840161</v>
      </c>
      <c r="HJ34" s="305">
        <f t="shared" si="51"/>
        <v>0</v>
      </c>
      <c r="HK34" s="305">
        <f t="shared" si="52"/>
        <v>747840.16099999996</v>
      </c>
      <c r="HL34" s="305">
        <f t="shared" si="53"/>
        <v>748840.16099999996</v>
      </c>
    </row>
    <row r="35" spans="1:220" ht="15" customHeight="1" x14ac:dyDescent="0.2">
      <c r="A35" s="286" t="s">
        <v>433</v>
      </c>
      <c r="B35" s="288" t="s">
        <v>449</v>
      </c>
      <c r="C35" s="286" t="s">
        <v>429</v>
      </c>
      <c r="D35" s="288" t="s">
        <v>429</v>
      </c>
      <c r="E35" s="287">
        <v>0</v>
      </c>
      <c r="F35" s="287">
        <v>41091952</v>
      </c>
      <c r="G35" s="287">
        <v>0</v>
      </c>
      <c r="H35" s="287">
        <f t="shared" si="7"/>
        <v>0</v>
      </c>
      <c r="I35" s="287">
        <f t="shared" si="8"/>
        <v>42817.813984</v>
      </c>
      <c r="J35" s="287">
        <f t="shared" si="9"/>
        <v>0</v>
      </c>
      <c r="T35" s="395" t="s">
        <v>804</v>
      </c>
      <c r="U35" s="396" t="s">
        <v>805</v>
      </c>
      <c r="V35" s="395" t="s">
        <v>429</v>
      </c>
      <c r="W35" s="396" t="s">
        <v>429</v>
      </c>
      <c r="X35" s="397">
        <v>0</v>
      </c>
      <c r="Y35" s="397">
        <v>1161550591</v>
      </c>
      <c r="Z35" s="397">
        <v>1161550591</v>
      </c>
      <c r="AA35" s="358">
        <f t="shared" si="11"/>
        <v>0</v>
      </c>
      <c r="AB35" s="358">
        <f t="shared" si="12"/>
        <v>1210335.7158220001</v>
      </c>
      <c r="AC35" s="358">
        <f t="shared" si="13"/>
        <v>1210335.7158220001</v>
      </c>
      <c r="AM35" s="288" t="s">
        <v>800</v>
      </c>
      <c r="AN35" s="288" t="s">
        <v>801</v>
      </c>
      <c r="AO35" s="288" t="s">
        <v>429</v>
      </c>
      <c r="AP35" s="288" t="s">
        <v>429</v>
      </c>
      <c r="AQ35" s="288" t="s">
        <v>516</v>
      </c>
      <c r="AR35" s="398">
        <v>1767372802</v>
      </c>
      <c r="AS35" s="398">
        <v>0</v>
      </c>
      <c r="AT35" s="398">
        <v>0</v>
      </c>
      <c r="AU35" s="398">
        <f t="shared" si="15"/>
        <v>1767372.8019999999</v>
      </c>
      <c r="AV35" s="398">
        <f t="shared" si="16"/>
        <v>0</v>
      </c>
      <c r="AW35" s="398">
        <f t="shared" si="17"/>
        <v>0</v>
      </c>
      <c r="BF35" s="365" t="s">
        <v>798</v>
      </c>
      <c r="BG35" s="399" t="s">
        <v>799</v>
      </c>
      <c r="BH35" s="286" t="s">
        <v>429</v>
      </c>
      <c r="BI35" s="288" t="s">
        <v>429</v>
      </c>
      <c r="BJ35" s="366">
        <v>0</v>
      </c>
      <c r="BK35" s="366">
        <v>326216770</v>
      </c>
      <c r="BL35" s="366">
        <v>326216770</v>
      </c>
      <c r="BM35" s="366">
        <f t="shared" si="19"/>
        <v>0</v>
      </c>
      <c r="BN35" s="366">
        <f t="shared" si="20"/>
        <v>326216.77</v>
      </c>
      <c r="BO35" s="366">
        <f t="shared" si="21"/>
        <v>326216.77</v>
      </c>
      <c r="BY35" s="286" t="s">
        <v>796</v>
      </c>
      <c r="BZ35" s="286" t="s">
        <v>797</v>
      </c>
      <c r="CA35" s="286" t="s">
        <v>429</v>
      </c>
      <c r="CB35" s="286" t="s">
        <v>429</v>
      </c>
      <c r="CC35" s="288" t="s">
        <v>516</v>
      </c>
      <c r="CD35" s="287">
        <v>0</v>
      </c>
      <c r="CE35" s="287">
        <v>1066032340</v>
      </c>
      <c r="CF35" s="287">
        <v>406146000</v>
      </c>
      <c r="CG35" s="287">
        <f t="shared" si="23"/>
        <v>0</v>
      </c>
      <c r="CH35" s="287">
        <f t="shared" si="24"/>
        <v>1066032.3400000001</v>
      </c>
      <c r="CI35" s="287">
        <f t="shared" si="25"/>
        <v>406146</v>
      </c>
      <c r="CR35" s="288" t="s">
        <v>794</v>
      </c>
      <c r="CS35" s="288" t="s">
        <v>795</v>
      </c>
      <c r="CT35" s="288" t="s">
        <v>429</v>
      </c>
      <c r="CU35" s="288" t="s">
        <v>429</v>
      </c>
      <c r="CV35" s="287">
        <v>0</v>
      </c>
      <c r="CW35" s="287">
        <v>4169517895</v>
      </c>
      <c r="CX35" s="287">
        <v>4096244895</v>
      </c>
      <c r="CY35" s="287">
        <f t="shared" si="27"/>
        <v>0</v>
      </c>
      <c r="CZ35" s="287">
        <f t="shared" si="28"/>
        <v>4169517.895</v>
      </c>
      <c r="DA35" s="287">
        <f t="shared" si="29"/>
        <v>4096244.895</v>
      </c>
      <c r="DK35" s="286" t="s">
        <v>794</v>
      </c>
      <c r="DL35" s="288" t="s">
        <v>795</v>
      </c>
      <c r="DM35" s="286" t="s">
        <v>429</v>
      </c>
      <c r="DN35" s="288" t="s">
        <v>429</v>
      </c>
      <c r="DO35" s="287">
        <v>0</v>
      </c>
      <c r="DP35" s="287">
        <v>4440646756</v>
      </c>
      <c r="DQ35" s="287">
        <v>4367373756</v>
      </c>
      <c r="DR35" s="287">
        <f t="shared" si="31"/>
        <v>0</v>
      </c>
      <c r="DS35" s="287">
        <f t="shared" si="32"/>
        <v>4440646.7560000001</v>
      </c>
      <c r="DT35" s="287">
        <f t="shared" si="33"/>
        <v>4367373.7560000001</v>
      </c>
      <c r="EE35" s="286" t="s">
        <v>794</v>
      </c>
      <c r="EF35" s="288" t="s">
        <v>795</v>
      </c>
      <c r="EG35" s="288" t="s">
        <v>429</v>
      </c>
      <c r="EH35" s="288" t="s">
        <v>429</v>
      </c>
      <c r="EI35" s="287">
        <v>0</v>
      </c>
      <c r="EJ35" s="287">
        <v>4631339408</v>
      </c>
      <c r="EK35" s="287">
        <v>4447846408</v>
      </c>
      <c r="EL35" s="358">
        <f t="shared" si="35"/>
        <v>0</v>
      </c>
      <c r="EM35" s="358">
        <f t="shared" si="36"/>
        <v>4631339.4079999998</v>
      </c>
      <c r="EN35" s="358">
        <f t="shared" si="37"/>
        <v>4447846.4079999998</v>
      </c>
      <c r="EV35" s="357"/>
      <c r="EY35" s="286" t="s">
        <v>794</v>
      </c>
      <c r="EZ35" s="288" t="s">
        <v>795</v>
      </c>
      <c r="FA35" s="288" t="s">
        <v>429</v>
      </c>
      <c r="FB35" s="288" t="s">
        <v>429</v>
      </c>
      <c r="FC35" s="287">
        <v>0</v>
      </c>
      <c r="FD35" s="287">
        <v>4636412408</v>
      </c>
      <c r="FE35" s="287">
        <v>4772297408</v>
      </c>
      <c r="FF35" s="357">
        <f t="shared" si="39"/>
        <v>0</v>
      </c>
      <c r="FG35" s="357">
        <f t="shared" si="40"/>
        <v>4636412.4079999998</v>
      </c>
      <c r="FH35" s="357">
        <f t="shared" si="41"/>
        <v>4772297.4079999998</v>
      </c>
      <c r="FR35" s="364" t="s">
        <v>794</v>
      </c>
      <c r="FS35" s="280" t="s">
        <v>795</v>
      </c>
      <c r="FT35" s="280" t="s">
        <v>429</v>
      </c>
      <c r="FU35" s="280" t="s">
        <v>429</v>
      </c>
      <c r="FV35" s="357">
        <v>0</v>
      </c>
      <c r="FW35" s="357">
        <v>5490868977</v>
      </c>
      <c r="FX35" s="357">
        <v>5346195809</v>
      </c>
      <c r="FY35" s="306">
        <f t="shared" si="43"/>
        <v>0</v>
      </c>
      <c r="FZ35" s="306">
        <f t="shared" si="44"/>
        <v>5490868.977</v>
      </c>
      <c r="GA35" s="306">
        <f t="shared" si="45"/>
        <v>5346195.8090000004</v>
      </c>
      <c r="GK35" s="280" t="s">
        <v>794</v>
      </c>
      <c r="GL35" s="280" t="s">
        <v>795</v>
      </c>
      <c r="GM35" s="280" t="s">
        <v>429</v>
      </c>
      <c r="GN35" s="280" t="s">
        <v>429</v>
      </c>
      <c r="GO35" s="357">
        <v>7795912954</v>
      </c>
      <c r="GP35" s="357">
        <v>0</v>
      </c>
      <c r="GQ35" s="357">
        <v>0</v>
      </c>
      <c r="GR35" s="357">
        <f t="shared" si="47"/>
        <v>7795912.9539999999</v>
      </c>
      <c r="GS35" s="357">
        <f t="shared" si="48"/>
        <v>0</v>
      </c>
      <c r="GT35" s="357">
        <f t="shared" si="49"/>
        <v>0</v>
      </c>
      <c r="HC35" s="280" t="s">
        <v>794</v>
      </c>
      <c r="HD35" s="280" t="s">
        <v>795</v>
      </c>
      <c r="HE35" s="280" t="s">
        <v>429</v>
      </c>
      <c r="HF35" s="280" t="s">
        <v>429</v>
      </c>
      <c r="HG35" s="305">
        <v>7583567392</v>
      </c>
      <c r="HH35" s="305">
        <v>0</v>
      </c>
      <c r="HI35" s="305">
        <v>0</v>
      </c>
      <c r="HJ35" s="305">
        <f t="shared" si="51"/>
        <v>7583567.392</v>
      </c>
      <c r="HK35" s="305">
        <f t="shared" si="52"/>
        <v>0</v>
      </c>
      <c r="HL35" s="305">
        <f t="shared" si="53"/>
        <v>0</v>
      </c>
    </row>
    <row r="36" spans="1:220" ht="15" customHeight="1" x14ac:dyDescent="0.2">
      <c r="A36" s="286" t="s">
        <v>847</v>
      </c>
      <c r="B36" s="288" t="s">
        <v>848</v>
      </c>
      <c r="C36" s="286" t="s">
        <v>429</v>
      </c>
      <c r="D36" s="288" t="s">
        <v>429</v>
      </c>
      <c r="E36" s="287">
        <v>3933000000</v>
      </c>
      <c r="F36" s="287">
        <v>0</v>
      </c>
      <c r="G36" s="287">
        <v>0</v>
      </c>
      <c r="H36" s="287">
        <f t="shared" si="7"/>
        <v>4098186</v>
      </c>
      <c r="I36" s="287">
        <f t="shared" si="8"/>
        <v>0</v>
      </c>
      <c r="J36" s="287">
        <f t="shared" si="9"/>
        <v>0</v>
      </c>
      <c r="T36" s="395" t="s">
        <v>806</v>
      </c>
      <c r="U36" s="396" t="s">
        <v>807</v>
      </c>
      <c r="V36" s="395" t="s">
        <v>429</v>
      </c>
      <c r="W36" s="396" t="s">
        <v>429</v>
      </c>
      <c r="X36" s="397">
        <v>9719640000</v>
      </c>
      <c r="Y36" s="397">
        <v>0</v>
      </c>
      <c r="Z36" s="397">
        <v>0</v>
      </c>
      <c r="AA36" s="358">
        <f t="shared" si="11"/>
        <v>10127864.880000001</v>
      </c>
      <c r="AB36" s="358">
        <f t="shared" si="12"/>
        <v>0</v>
      </c>
      <c r="AC36" s="358">
        <f t="shared" si="13"/>
        <v>0</v>
      </c>
      <c r="AM36" s="288" t="s">
        <v>800</v>
      </c>
      <c r="AN36" s="288" t="s">
        <v>801</v>
      </c>
      <c r="AO36" s="288" t="s">
        <v>429</v>
      </c>
      <c r="AP36" s="288" t="s">
        <v>429</v>
      </c>
      <c r="AQ36" s="288" t="s">
        <v>516</v>
      </c>
      <c r="AR36" s="398">
        <v>0</v>
      </c>
      <c r="AS36" s="398">
        <v>105220000</v>
      </c>
      <c r="AT36" s="398">
        <v>105220000</v>
      </c>
      <c r="AU36" s="398">
        <f t="shared" si="15"/>
        <v>0</v>
      </c>
      <c r="AV36" s="398">
        <f t="shared" si="16"/>
        <v>105220</v>
      </c>
      <c r="AW36" s="398">
        <f t="shared" si="17"/>
        <v>105220</v>
      </c>
      <c r="BF36" s="365" t="s">
        <v>800</v>
      </c>
      <c r="BG36" s="399" t="s">
        <v>801</v>
      </c>
      <c r="BH36" s="286" t="s">
        <v>429</v>
      </c>
      <c r="BI36" s="288" t="s">
        <v>429</v>
      </c>
      <c r="BJ36" s="366">
        <v>1767372802</v>
      </c>
      <c r="BK36" s="366">
        <v>0</v>
      </c>
      <c r="BL36" s="366">
        <v>0</v>
      </c>
      <c r="BM36" s="366">
        <f t="shared" si="19"/>
        <v>1767372.8019999999</v>
      </c>
      <c r="BN36" s="366">
        <f t="shared" si="20"/>
        <v>0</v>
      </c>
      <c r="BO36" s="366">
        <f t="shared" si="21"/>
        <v>0</v>
      </c>
      <c r="BY36" s="286" t="s">
        <v>798</v>
      </c>
      <c r="BZ36" s="286" t="s">
        <v>799</v>
      </c>
      <c r="CA36" s="286" t="s">
        <v>429</v>
      </c>
      <c r="CB36" s="286" t="s">
        <v>429</v>
      </c>
      <c r="CC36" s="288" t="s">
        <v>516</v>
      </c>
      <c r="CD36" s="287">
        <v>2200153131</v>
      </c>
      <c r="CE36" s="287">
        <v>0</v>
      </c>
      <c r="CF36" s="287">
        <v>0</v>
      </c>
      <c r="CG36" s="287">
        <f t="shared" si="23"/>
        <v>2200153.1310000001</v>
      </c>
      <c r="CH36" s="287">
        <f t="shared" si="24"/>
        <v>0</v>
      </c>
      <c r="CI36" s="287">
        <f t="shared" si="25"/>
        <v>0</v>
      </c>
      <c r="CR36" s="288" t="s">
        <v>796</v>
      </c>
      <c r="CS36" s="288" t="s">
        <v>797</v>
      </c>
      <c r="CT36" s="288" t="s">
        <v>429</v>
      </c>
      <c r="CU36" s="288" t="s">
        <v>429</v>
      </c>
      <c r="CV36" s="287">
        <v>3167999214</v>
      </c>
      <c r="CW36" s="287">
        <v>0</v>
      </c>
      <c r="CX36" s="287">
        <v>0</v>
      </c>
      <c r="CY36" s="287">
        <f t="shared" si="27"/>
        <v>3167999.2140000002</v>
      </c>
      <c r="CZ36" s="287">
        <f t="shared" si="28"/>
        <v>0</v>
      </c>
      <c r="DA36" s="287">
        <f t="shared" si="29"/>
        <v>0</v>
      </c>
      <c r="DK36" s="286" t="s">
        <v>796</v>
      </c>
      <c r="DL36" s="288" t="s">
        <v>797</v>
      </c>
      <c r="DM36" s="286" t="s">
        <v>429</v>
      </c>
      <c r="DN36" s="288" t="s">
        <v>429</v>
      </c>
      <c r="DO36" s="287">
        <v>3344419214</v>
      </c>
      <c r="DP36" s="287">
        <v>0</v>
      </c>
      <c r="DQ36" s="287">
        <v>0</v>
      </c>
      <c r="DR36" s="287">
        <f t="shared" si="31"/>
        <v>3344419.2140000002</v>
      </c>
      <c r="DS36" s="287">
        <f t="shared" si="32"/>
        <v>0</v>
      </c>
      <c r="DT36" s="287">
        <f t="shared" si="33"/>
        <v>0</v>
      </c>
      <c r="EE36" s="286" t="s">
        <v>796</v>
      </c>
      <c r="EF36" s="288" t="s">
        <v>797</v>
      </c>
      <c r="EG36" s="288" t="s">
        <v>429</v>
      </c>
      <c r="EH36" s="288" t="s">
        <v>429</v>
      </c>
      <c r="EI36" s="287">
        <v>6277101139</v>
      </c>
      <c r="EJ36" s="287">
        <v>0</v>
      </c>
      <c r="EK36" s="287">
        <v>0</v>
      </c>
      <c r="EL36" s="358">
        <f t="shared" si="35"/>
        <v>6277101.1390000004</v>
      </c>
      <c r="EM36" s="358">
        <f t="shared" si="36"/>
        <v>0</v>
      </c>
      <c r="EN36" s="358">
        <f t="shared" si="37"/>
        <v>0</v>
      </c>
      <c r="EV36" s="357"/>
      <c r="EY36" s="286" t="s">
        <v>796</v>
      </c>
      <c r="EZ36" s="288" t="s">
        <v>797</v>
      </c>
      <c r="FA36" s="288" t="s">
        <v>429</v>
      </c>
      <c r="FB36" s="288" t="s">
        <v>429</v>
      </c>
      <c r="FC36" s="287">
        <v>6277101139</v>
      </c>
      <c r="FD36" s="287">
        <v>0</v>
      </c>
      <c r="FE36" s="287">
        <v>0</v>
      </c>
      <c r="FF36" s="357">
        <f t="shared" si="39"/>
        <v>6277101.1390000004</v>
      </c>
      <c r="FG36" s="357">
        <f t="shared" si="40"/>
        <v>0</v>
      </c>
      <c r="FH36" s="357">
        <f t="shared" si="41"/>
        <v>0</v>
      </c>
      <c r="FR36" s="364" t="s">
        <v>796</v>
      </c>
      <c r="FS36" s="280" t="s">
        <v>797</v>
      </c>
      <c r="FT36" s="280" t="s">
        <v>429</v>
      </c>
      <c r="FU36" s="280" t="s">
        <v>429</v>
      </c>
      <c r="FV36" s="357">
        <v>6277101139</v>
      </c>
      <c r="FW36" s="357">
        <v>0</v>
      </c>
      <c r="FX36" s="357">
        <v>0</v>
      </c>
      <c r="FY36" s="306">
        <f t="shared" si="43"/>
        <v>6277101.1390000004</v>
      </c>
      <c r="FZ36" s="306">
        <f t="shared" si="44"/>
        <v>0</v>
      </c>
      <c r="GA36" s="306">
        <f t="shared" si="45"/>
        <v>0</v>
      </c>
      <c r="GK36" s="280" t="s">
        <v>794</v>
      </c>
      <c r="GL36" s="280" t="s">
        <v>795</v>
      </c>
      <c r="GM36" s="280" t="s">
        <v>429</v>
      </c>
      <c r="GN36" s="280" t="s">
        <v>429</v>
      </c>
      <c r="GO36" s="357">
        <v>0</v>
      </c>
      <c r="GP36" s="357">
        <v>5697619846</v>
      </c>
      <c r="GQ36" s="357">
        <v>5534754846</v>
      </c>
      <c r="GR36" s="357">
        <f t="shared" si="47"/>
        <v>0</v>
      </c>
      <c r="GS36" s="357">
        <f t="shared" si="48"/>
        <v>5697619.8459999999</v>
      </c>
      <c r="GT36" s="357">
        <f t="shared" si="49"/>
        <v>5534754.8459999999</v>
      </c>
      <c r="HC36" s="280" t="s">
        <v>794</v>
      </c>
      <c r="HD36" s="280" t="s">
        <v>795</v>
      </c>
      <c r="HE36" s="280" t="s">
        <v>429</v>
      </c>
      <c r="HF36" s="280" t="s">
        <v>429</v>
      </c>
      <c r="HG36" s="305">
        <v>0</v>
      </c>
      <c r="HH36" s="305">
        <v>7583567392</v>
      </c>
      <c r="HI36" s="305">
        <v>7583567392</v>
      </c>
      <c r="HJ36" s="305">
        <f t="shared" si="51"/>
        <v>0</v>
      </c>
      <c r="HK36" s="305">
        <f t="shared" si="52"/>
        <v>7583567.392</v>
      </c>
      <c r="HL36" s="305">
        <f t="shared" si="53"/>
        <v>7583567.392</v>
      </c>
    </row>
    <row r="37" spans="1:220" ht="15" customHeight="1" x14ac:dyDescent="0.2">
      <c r="A37" s="286" t="s">
        <v>434</v>
      </c>
      <c r="B37" s="288" t="s">
        <v>127</v>
      </c>
      <c r="C37" s="286" t="s">
        <v>429</v>
      </c>
      <c r="D37" s="288" t="s">
        <v>429</v>
      </c>
      <c r="E37" s="287">
        <v>10100</v>
      </c>
      <c r="F37" s="287">
        <v>0</v>
      </c>
      <c r="G37" s="287">
        <v>0</v>
      </c>
      <c r="H37" s="287">
        <f t="shared" si="7"/>
        <v>10.5242</v>
      </c>
      <c r="I37" s="287">
        <f t="shared" si="8"/>
        <v>0</v>
      </c>
      <c r="J37" s="287">
        <f t="shared" si="9"/>
        <v>0</v>
      </c>
      <c r="T37" s="395" t="s">
        <v>430</v>
      </c>
      <c r="U37" s="396" t="s">
        <v>448</v>
      </c>
      <c r="V37" s="395" t="s">
        <v>429</v>
      </c>
      <c r="W37" s="396" t="s">
        <v>429</v>
      </c>
      <c r="X37" s="397">
        <v>17089021000</v>
      </c>
      <c r="Y37" s="397">
        <v>0</v>
      </c>
      <c r="Z37" s="397">
        <v>0</v>
      </c>
      <c r="AA37" s="358">
        <f t="shared" si="11"/>
        <v>17806759.881999999</v>
      </c>
      <c r="AB37" s="358">
        <f t="shared" si="12"/>
        <v>0</v>
      </c>
      <c r="AC37" s="358">
        <f t="shared" si="13"/>
        <v>0</v>
      </c>
      <c r="AM37" s="288" t="s">
        <v>802</v>
      </c>
      <c r="AN37" s="288" t="s">
        <v>803</v>
      </c>
      <c r="AO37" s="288" t="s">
        <v>429</v>
      </c>
      <c r="AP37" s="288" t="s">
        <v>429</v>
      </c>
      <c r="AQ37" s="288" t="s">
        <v>516</v>
      </c>
      <c r="AR37" s="398">
        <v>25451323184</v>
      </c>
      <c r="AS37" s="398">
        <v>0</v>
      </c>
      <c r="AT37" s="398">
        <v>0</v>
      </c>
      <c r="AU37" s="398">
        <f t="shared" si="15"/>
        <v>25451323.184</v>
      </c>
      <c r="AV37" s="398">
        <f t="shared" si="16"/>
        <v>0</v>
      </c>
      <c r="AW37" s="398">
        <f t="shared" si="17"/>
        <v>0</v>
      </c>
      <c r="BF37" s="365" t="s">
        <v>800</v>
      </c>
      <c r="BG37" s="399" t="s">
        <v>801</v>
      </c>
      <c r="BH37" s="286" t="s">
        <v>429</v>
      </c>
      <c r="BI37" s="288" t="s">
        <v>429</v>
      </c>
      <c r="BJ37" s="366">
        <v>0</v>
      </c>
      <c r="BK37" s="366">
        <v>138798220</v>
      </c>
      <c r="BL37" s="366">
        <v>123565625</v>
      </c>
      <c r="BM37" s="366">
        <f t="shared" si="19"/>
        <v>0</v>
      </c>
      <c r="BN37" s="366">
        <f t="shared" si="20"/>
        <v>138798.22</v>
      </c>
      <c r="BO37" s="366">
        <f t="shared" si="21"/>
        <v>123565.625</v>
      </c>
      <c r="BY37" s="286" t="s">
        <v>798</v>
      </c>
      <c r="BZ37" s="286" t="s">
        <v>799</v>
      </c>
      <c r="CA37" s="286" t="s">
        <v>429</v>
      </c>
      <c r="CB37" s="286" t="s">
        <v>429</v>
      </c>
      <c r="CC37" s="288" t="s">
        <v>516</v>
      </c>
      <c r="CD37" s="287">
        <v>0</v>
      </c>
      <c r="CE37" s="287">
        <v>873801770</v>
      </c>
      <c r="CF37" s="287">
        <v>762201770</v>
      </c>
      <c r="CG37" s="287">
        <f t="shared" si="23"/>
        <v>0</v>
      </c>
      <c r="CH37" s="287">
        <f t="shared" si="24"/>
        <v>873801.77</v>
      </c>
      <c r="CI37" s="287">
        <f t="shared" si="25"/>
        <v>762201.77</v>
      </c>
      <c r="CR37" s="288" t="s">
        <v>796</v>
      </c>
      <c r="CS37" s="288" t="s">
        <v>797</v>
      </c>
      <c r="CT37" s="288" t="s">
        <v>429</v>
      </c>
      <c r="CU37" s="288" t="s">
        <v>429</v>
      </c>
      <c r="CV37" s="287">
        <v>0</v>
      </c>
      <c r="CW37" s="287">
        <v>1066032340</v>
      </c>
      <c r="CX37" s="287">
        <v>1066032340</v>
      </c>
      <c r="CY37" s="287">
        <f t="shared" si="27"/>
        <v>0</v>
      </c>
      <c r="CZ37" s="287">
        <f t="shared" si="28"/>
        <v>1066032.3400000001</v>
      </c>
      <c r="DA37" s="287">
        <f t="shared" si="29"/>
        <v>1066032.3400000001</v>
      </c>
      <c r="DK37" s="286" t="s">
        <v>796</v>
      </c>
      <c r="DL37" s="288" t="s">
        <v>797</v>
      </c>
      <c r="DM37" s="286" t="s">
        <v>429</v>
      </c>
      <c r="DN37" s="288" t="s">
        <v>429</v>
      </c>
      <c r="DO37" s="287">
        <v>0</v>
      </c>
      <c r="DP37" s="287">
        <v>1066032340</v>
      </c>
      <c r="DQ37" s="287">
        <v>1066032340</v>
      </c>
      <c r="DR37" s="287">
        <f t="shared" si="31"/>
        <v>0</v>
      </c>
      <c r="DS37" s="287">
        <f t="shared" si="32"/>
        <v>1066032.3400000001</v>
      </c>
      <c r="DT37" s="287">
        <f t="shared" si="33"/>
        <v>1066032.3400000001</v>
      </c>
      <c r="EE37" s="286" t="s">
        <v>796</v>
      </c>
      <c r="EF37" s="288" t="s">
        <v>797</v>
      </c>
      <c r="EG37" s="288" t="s">
        <v>429</v>
      </c>
      <c r="EH37" s="288" t="s">
        <v>429</v>
      </c>
      <c r="EI37" s="287">
        <v>0</v>
      </c>
      <c r="EJ37" s="287">
        <v>1066032340</v>
      </c>
      <c r="EK37" s="287">
        <v>1066032340</v>
      </c>
      <c r="EL37" s="358">
        <f t="shared" si="35"/>
        <v>0</v>
      </c>
      <c r="EM37" s="358">
        <f t="shared" si="36"/>
        <v>1066032.3400000001</v>
      </c>
      <c r="EN37" s="358">
        <f t="shared" si="37"/>
        <v>1066032.3400000001</v>
      </c>
      <c r="EV37" s="357"/>
      <c r="EY37" s="286" t="s">
        <v>796</v>
      </c>
      <c r="EZ37" s="288" t="s">
        <v>797</v>
      </c>
      <c r="FA37" s="288" t="s">
        <v>429</v>
      </c>
      <c r="FB37" s="288" t="s">
        <v>429</v>
      </c>
      <c r="FC37" s="287">
        <v>0</v>
      </c>
      <c r="FD37" s="287">
        <v>1136718340</v>
      </c>
      <c r="FE37" s="287">
        <v>2640982552</v>
      </c>
      <c r="FF37" s="357">
        <f t="shared" si="39"/>
        <v>0</v>
      </c>
      <c r="FG37" s="357">
        <f t="shared" si="40"/>
        <v>1136718.3400000001</v>
      </c>
      <c r="FH37" s="357">
        <f t="shared" si="41"/>
        <v>2640982.5520000001</v>
      </c>
      <c r="FR37" s="364" t="s">
        <v>796</v>
      </c>
      <c r="FS37" s="280" t="s">
        <v>797</v>
      </c>
      <c r="FT37" s="280" t="s">
        <v>429</v>
      </c>
      <c r="FU37" s="280" t="s">
        <v>429</v>
      </c>
      <c r="FV37" s="357">
        <v>0</v>
      </c>
      <c r="FW37" s="357">
        <v>5573664477</v>
      </c>
      <c r="FX37" s="357">
        <v>5573664477</v>
      </c>
      <c r="FY37" s="306">
        <f t="shared" si="43"/>
        <v>0</v>
      </c>
      <c r="FZ37" s="306">
        <f t="shared" si="44"/>
        <v>5573664.477</v>
      </c>
      <c r="GA37" s="306">
        <f t="shared" si="45"/>
        <v>5573664.477</v>
      </c>
      <c r="GK37" s="280" t="s">
        <v>796</v>
      </c>
      <c r="GL37" s="280" t="s">
        <v>797</v>
      </c>
      <c r="GM37" s="280" t="s">
        <v>429</v>
      </c>
      <c r="GN37" s="280" t="s">
        <v>429</v>
      </c>
      <c r="GO37" s="357">
        <v>6277101139</v>
      </c>
      <c r="GP37" s="357">
        <v>0</v>
      </c>
      <c r="GQ37" s="357">
        <v>0</v>
      </c>
      <c r="GR37" s="357">
        <f t="shared" si="47"/>
        <v>6277101.1390000004</v>
      </c>
      <c r="GS37" s="357">
        <f t="shared" si="48"/>
        <v>0</v>
      </c>
      <c r="GT37" s="357">
        <f t="shared" si="49"/>
        <v>0</v>
      </c>
      <c r="HC37" s="280" t="s">
        <v>796</v>
      </c>
      <c r="HD37" s="280" t="s">
        <v>797</v>
      </c>
      <c r="HE37" s="280" t="s">
        <v>429</v>
      </c>
      <c r="HF37" s="280" t="s">
        <v>429</v>
      </c>
      <c r="HG37" s="305">
        <v>6096884277</v>
      </c>
      <c r="HH37" s="305">
        <v>0</v>
      </c>
      <c r="HI37" s="305">
        <v>0</v>
      </c>
      <c r="HJ37" s="305">
        <f t="shared" si="51"/>
        <v>6096884.2769999998</v>
      </c>
      <c r="HK37" s="305">
        <f t="shared" si="52"/>
        <v>0</v>
      </c>
      <c r="HL37" s="305">
        <f t="shared" si="53"/>
        <v>0</v>
      </c>
    </row>
    <row r="38" spans="1:220" ht="15" customHeight="1" x14ac:dyDescent="0.2">
      <c r="A38" s="286" t="s">
        <v>434</v>
      </c>
      <c r="B38" s="288" t="s">
        <v>127</v>
      </c>
      <c r="C38" s="286" t="s">
        <v>429</v>
      </c>
      <c r="D38" s="288" t="s">
        <v>429</v>
      </c>
      <c r="E38" s="287">
        <v>0</v>
      </c>
      <c r="F38" s="287">
        <v>15276251603</v>
      </c>
      <c r="G38" s="287">
        <v>15276251603</v>
      </c>
      <c r="H38" s="287">
        <f t="shared" si="7"/>
        <v>0</v>
      </c>
      <c r="I38" s="287">
        <f t="shared" si="8"/>
        <v>15917854.170326</v>
      </c>
      <c r="J38" s="287">
        <f t="shared" si="9"/>
        <v>15917854.170326</v>
      </c>
      <c r="T38" s="395" t="s">
        <v>433</v>
      </c>
      <c r="U38" s="396" t="s">
        <v>449</v>
      </c>
      <c r="V38" s="395" t="s">
        <v>429</v>
      </c>
      <c r="W38" s="396" t="s">
        <v>429</v>
      </c>
      <c r="X38" s="397">
        <v>8937547000</v>
      </c>
      <c r="Y38" s="397">
        <v>0</v>
      </c>
      <c r="Z38" s="397">
        <v>0</v>
      </c>
      <c r="AA38" s="358">
        <f t="shared" si="11"/>
        <v>9312923.9739999995</v>
      </c>
      <c r="AB38" s="358">
        <f t="shared" si="12"/>
        <v>0</v>
      </c>
      <c r="AC38" s="358">
        <f t="shared" si="13"/>
        <v>0</v>
      </c>
      <c r="AM38" s="288" t="s">
        <v>804</v>
      </c>
      <c r="AN38" s="288" t="s">
        <v>805</v>
      </c>
      <c r="AO38" s="288" t="s">
        <v>429</v>
      </c>
      <c r="AP38" s="288" t="s">
        <v>429</v>
      </c>
      <c r="AQ38" s="288" t="s">
        <v>516</v>
      </c>
      <c r="AR38" s="398">
        <v>19095077658</v>
      </c>
      <c r="AS38" s="398">
        <v>0</v>
      </c>
      <c r="AT38" s="398">
        <v>0</v>
      </c>
      <c r="AU38" s="398">
        <f t="shared" si="15"/>
        <v>19095077.658</v>
      </c>
      <c r="AV38" s="398">
        <f t="shared" si="16"/>
        <v>0</v>
      </c>
      <c r="AW38" s="398">
        <f t="shared" si="17"/>
        <v>0</v>
      </c>
      <c r="BF38" s="365" t="s">
        <v>802</v>
      </c>
      <c r="BG38" s="399" t="s">
        <v>803</v>
      </c>
      <c r="BH38" s="286" t="s">
        <v>429</v>
      </c>
      <c r="BI38" s="288" t="s">
        <v>429</v>
      </c>
      <c r="BJ38" s="366">
        <v>25451323184</v>
      </c>
      <c r="BK38" s="366">
        <v>0</v>
      </c>
      <c r="BL38" s="366">
        <v>0</v>
      </c>
      <c r="BM38" s="366">
        <f t="shared" si="19"/>
        <v>25451323.184</v>
      </c>
      <c r="BN38" s="366">
        <f t="shared" si="20"/>
        <v>0</v>
      </c>
      <c r="BO38" s="366">
        <f t="shared" si="21"/>
        <v>0</v>
      </c>
      <c r="BY38" s="286" t="s">
        <v>800</v>
      </c>
      <c r="BZ38" s="286" t="s">
        <v>801</v>
      </c>
      <c r="CA38" s="286" t="s">
        <v>429</v>
      </c>
      <c r="CB38" s="286" t="s">
        <v>429</v>
      </c>
      <c r="CC38" s="288" t="s">
        <v>516</v>
      </c>
      <c r="CD38" s="287">
        <v>1567372802</v>
      </c>
      <c r="CE38" s="287">
        <v>0</v>
      </c>
      <c r="CF38" s="287">
        <v>0</v>
      </c>
      <c r="CG38" s="287">
        <f t="shared" si="23"/>
        <v>1567372.8019999999</v>
      </c>
      <c r="CH38" s="287">
        <f t="shared" si="24"/>
        <v>0</v>
      </c>
      <c r="CI38" s="287">
        <f t="shared" si="25"/>
        <v>0</v>
      </c>
      <c r="CR38" s="288" t="s">
        <v>798</v>
      </c>
      <c r="CS38" s="288" t="s">
        <v>799</v>
      </c>
      <c r="CT38" s="288" t="s">
        <v>429</v>
      </c>
      <c r="CU38" s="288" t="s">
        <v>429</v>
      </c>
      <c r="CV38" s="287">
        <v>2200153131</v>
      </c>
      <c r="CW38" s="287">
        <v>0</v>
      </c>
      <c r="CX38" s="287">
        <v>0</v>
      </c>
      <c r="CY38" s="287">
        <f t="shared" si="27"/>
        <v>2200153.1310000001</v>
      </c>
      <c r="CZ38" s="287">
        <f t="shared" si="28"/>
        <v>0</v>
      </c>
      <c r="DA38" s="287">
        <f t="shared" si="29"/>
        <v>0</v>
      </c>
      <c r="DK38" s="286" t="s">
        <v>798</v>
      </c>
      <c r="DL38" s="288" t="s">
        <v>799</v>
      </c>
      <c r="DM38" s="286" t="s">
        <v>429</v>
      </c>
      <c r="DN38" s="288" t="s">
        <v>429</v>
      </c>
      <c r="DO38" s="287">
        <v>2473025849</v>
      </c>
      <c r="DP38" s="287">
        <v>0</v>
      </c>
      <c r="DQ38" s="287">
        <v>0</v>
      </c>
      <c r="DR38" s="287">
        <f t="shared" si="31"/>
        <v>2473025.8489999999</v>
      </c>
      <c r="DS38" s="287">
        <f t="shared" si="32"/>
        <v>0</v>
      </c>
      <c r="DT38" s="287">
        <f t="shared" si="33"/>
        <v>0</v>
      </c>
      <c r="EE38" s="286" t="s">
        <v>798</v>
      </c>
      <c r="EF38" s="288" t="s">
        <v>799</v>
      </c>
      <c r="EG38" s="288" t="s">
        <v>429</v>
      </c>
      <c r="EH38" s="288" t="s">
        <v>429</v>
      </c>
      <c r="EI38" s="287">
        <v>2647031001</v>
      </c>
      <c r="EJ38" s="287">
        <v>0</v>
      </c>
      <c r="EK38" s="287">
        <v>0</v>
      </c>
      <c r="EL38" s="358">
        <f t="shared" si="35"/>
        <v>2647031.0010000002</v>
      </c>
      <c r="EM38" s="358">
        <f t="shared" si="36"/>
        <v>0</v>
      </c>
      <c r="EN38" s="358">
        <f t="shared" si="37"/>
        <v>0</v>
      </c>
      <c r="EV38" s="357"/>
      <c r="EY38" s="286" t="s">
        <v>798</v>
      </c>
      <c r="EZ38" s="288" t="s">
        <v>799</v>
      </c>
      <c r="FA38" s="288" t="s">
        <v>429</v>
      </c>
      <c r="FB38" s="288" t="s">
        <v>429</v>
      </c>
      <c r="FC38" s="287">
        <v>3081761891</v>
      </c>
      <c r="FD38" s="287">
        <v>0</v>
      </c>
      <c r="FE38" s="287">
        <v>0</v>
      </c>
      <c r="FF38" s="357">
        <f t="shared" si="39"/>
        <v>3081761.8909999998</v>
      </c>
      <c r="FG38" s="357">
        <f t="shared" si="40"/>
        <v>0</v>
      </c>
      <c r="FH38" s="357">
        <f t="shared" si="41"/>
        <v>0</v>
      </c>
      <c r="FR38" s="364" t="s">
        <v>798</v>
      </c>
      <c r="FS38" s="280" t="s">
        <v>799</v>
      </c>
      <c r="FT38" s="280" t="s">
        <v>429</v>
      </c>
      <c r="FU38" s="280" t="s">
        <v>429</v>
      </c>
      <c r="FV38" s="357">
        <v>3081761891</v>
      </c>
      <c r="FW38" s="357">
        <v>0</v>
      </c>
      <c r="FX38" s="357">
        <v>0</v>
      </c>
      <c r="FY38" s="306">
        <f t="shared" si="43"/>
        <v>3081761.8909999998</v>
      </c>
      <c r="FZ38" s="306">
        <f t="shared" si="44"/>
        <v>0</v>
      </c>
      <c r="GA38" s="306">
        <f t="shared" si="45"/>
        <v>0</v>
      </c>
      <c r="GK38" s="280" t="s">
        <v>796</v>
      </c>
      <c r="GL38" s="280" t="s">
        <v>797</v>
      </c>
      <c r="GM38" s="280" t="s">
        <v>429</v>
      </c>
      <c r="GN38" s="280" t="s">
        <v>429</v>
      </c>
      <c r="GO38" s="357">
        <v>0</v>
      </c>
      <c r="GP38" s="357">
        <v>6096884277</v>
      </c>
      <c r="GQ38" s="357">
        <v>6096884277</v>
      </c>
      <c r="GR38" s="357">
        <f t="shared" si="47"/>
        <v>0</v>
      </c>
      <c r="GS38" s="357">
        <f t="shared" si="48"/>
        <v>6096884.2769999998</v>
      </c>
      <c r="GT38" s="357">
        <f t="shared" si="49"/>
        <v>6096884.2769999998</v>
      </c>
      <c r="HC38" s="280" t="s">
        <v>796</v>
      </c>
      <c r="HD38" s="280" t="s">
        <v>797</v>
      </c>
      <c r="HE38" s="280" t="s">
        <v>429</v>
      </c>
      <c r="HF38" s="280" t="s">
        <v>429</v>
      </c>
      <c r="HG38" s="305">
        <v>0</v>
      </c>
      <c r="HH38" s="305">
        <v>6096884277</v>
      </c>
      <c r="HI38" s="305">
        <v>6096884277</v>
      </c>
      <c r="HJ38" s="305">
        <f t="shared" si="51"/>
        <v>0</v>
      </c>
      <c r="HK38" s="305">
        <f t="shared" si="52"/>
        <v>6096884.2769999998</v>
      </c>
      <c r="HL38" s="305">
        <f t="shared" si="53"/>
        <v>6096884.2769999998</v>
      </c>
    </row>
    <row r="39" spans="1:220" ht="15" customHeight="1" x14ac:dyDescent="0.2">
      <c r="T39" s="395" t="s">
        <v>433</v>
      </c>
      <c r="U39" s="396" t="s">
        <v>449</v>
      </c>
      <c r="V39" s="395" t="s">
        <v>429</v>
      </c>
      <c r="W39" s="396" t="s">
        <v>429</v>
      </c>
      <c r="X39" s="397">
        <v>0</v>
      </c>
      <c r="Y39" s="397">
        <v>159075452</v>
      </c>
      <c r="Z39" s="397">
        <v>149403452</v>
      </c>
      <c r="AA39" s="358">
        <f t="shared" si="11"/>
        <v>0</v>
      </c>
      <c r="AB39" s="358">
        <f t="shared" si="12"/>
        <v>165756.62098400001</v>
      </c>
      <c r="AC39" s="358">
        <f t="shared" si="13"/>
        <v>155678.39698399999</v>
      </c>
      <c r="AM39" s="288" t="s">
        <v>804</v>
      </c>
      <c r="AN39" s="288" t="s">
        <v>805</v>
      </c>
      <c r="AO39" s="288" t="s">
        <v>429</v>
      </c>
      <c r="AP39" s="288" t="s">
        <v>429</v>
      </c>
      <c r="AQ39" s="288" t="s">
        <v>516</v>
      </c>
      <c r="AR39" s="398">
        <v>0</v>
      </c>
      <c r="AS39" s="398">
        <v>3968116698</v>
      </c>
      <c r="AT39" s="398">
        <v>3219509243</v>
      </c>
      <c r="AU39" s="398">
        <f t="shared" si="15"/>
        <v>0</v>
      </c>
      <c r="AV39" s="398">
        <f t="shared" si="16"/>
        <v>3968116.6979999999</v>
      </c>
      <c r="AW39" s="398">
        <f t="shared" si="17"/>
        <v>3219509.2429999998</v>
      </c>
      <c r="BF39" s="365" t="s">
        <v>802</v>
      </c>
      <c r="BG39" s="399" t="s">
        <v>803</v>
      </c>
      <c r="BH39" s="286" t="s">
        <v>429</v>
      </c>
      <c r="BI39" s="288" t="s">
        <v>429</v>
      </c>
      <c r="BJ39" s="366">
        <v>0</v>
      </c>
      <c r="BK39" s="366">
        <v>292620000</v>
      </c>
      <c r="BL39" s="366">
        <v>0</v>
      </c>
      <c r="BM39" s="366">
        <f t="shared" si="19"/>
        <v>0</v>
      </c>
      <c r="BN39" s="366">
        <f t="shared" si="20"/>
        <v>292620</v>
      </c>
      <c r="BO39" s="366">
        <f t="shared" si="21"/>
        <v>0</v>
      </c>
      <c r="BY39" s="286" t="s">
        <v>800</v>
      </c>
      <c r="BZ39" s="286" t="s">
        <v>801</v>
      </c>
      <c r="CA39" s="286" t="s">
        <v>429</v>
      </c>
      <c r="CB39" s="286" t="s">
        <v>429</v>
      </c>
      <c r="CC39" s="288" t="s">
        <v>516</v>
      </c>
      <c r="CD39" s="287">
        <v>0</v>
      </c>
      <c r="CE39" s="287">
        <v>198714720</v>
      </c>
      <c r="CF39" s="287">
        <v>138798220</v>
      </c>
      <c r="CG39" s="287">
        <f t="shared" si="23"/>
        <v>0</v>
      </c>
      <c r="CH39" s="287">
        <f t="shared" si="24"/>
        <v>198714.72</v>
      </c>
      <c r="CI39" s="287">
        <f t="shared" si="25"/>
        <v>138798.22</v>
      </c>
      <c r="CR39" s="288" t="s">
        <v>798</v>
      </c>
      <c r="CS39" s="288" t="s">
        <v>799</v>
      </c>
      <c r="CT39" s="288" t="s">
        <v>429</v>
      </c>
      <c r="CU39" s="288" t="s">
        <v>429</v>
      </c>
      <c r="CV39" s="287">
        <v>0</v>
      </c>
      <c r="CW39" s="287">
        <v>873801770</v>
      </c>
      <c r="CX39" s="287">
        <v>873801770</v>
      </c>
      <c r="CY39" s="287">
        <f t="shared" si="27"/>
        <v>0</v>
      </c>
      <c r="CZ39" s="287">
        <f t="shared" si="28"/>
        <v>873801.77</v>
      </c>
      <c r="DA39" s="287">
        <f t="shared" si="29"/>
        <v>873801.77</v>
      </c>
      <c r="DK39" s="286" t="s">
        <v>798</v>
      </c>
      <c r="DL39" s="288" t="s">
        <v>799</v>
      </c>
      <c r="DM39" s="286" t="s">
        <v>429</v>
      </c>
      <c r="DN39" s="288" t="s">
        <v>429</v>
      </c>
      <c r="DO39" s="287">
        <v>0</v>
      </c>
      <c r="DP39" s="287">
        <v>1243504895</v>
      </c>
      <c r="DQ39" s="287">
        <v>1243504895</v>
      </c>
      <c r="DR39" s="287">
        <f t="shared" si="31"/>
        <v>0</v>
      </c>
      <c r="DS39" s="287">
        <f t="shared" si="32"/>
        <v>1243504.895</v>
      </c>
      <c r="DT39" s="287">
        <f t="shared" si="33"/>
        <v>1243504.895</v>
      </c>
      <c r="EE39" s="286" t="s">
        <v>798</v>
      </c>
      <c r="EF39" s="288" t="s">
        <v>799</v>
      </c>
      <c r="EG39" s="288" t="s">
        <v>429</v>
      </c>
      <c r="EH39" s="288" t="s">
        <v>429</v>
      </c>
      <c r="EI39" s="287">
        <v>0</v>
      </c>
      <c r="EJ39" s="287">
        <v>1898727322</v>
      </c>
      <c r="EK39" s="287">
        <v>1832341895</v>
      </c>
      <c r="EL39" s="358">
        <f t="shared" si="35"/>
        <v>0</v>
      </c>
      <c r="EM39" s="358">
        <f t="shared" si="36"/>
        <v>1898727.3219999999</v>
      </c>
      <c r="EN39" s="358">
        <f t="shared" si="37"/>
        <v>1832341.895</v>
      </c>
      <c r="EV39" s="357"/>
      <c r="EY39" s="286" t="s">
        <v>798</v>
      </c>
      <c r="EZ39" s="288" t="s">
        <v>799</v>
      </c>
      <c r="FA39" s="288" t="s">
        <v>429</v>
      </c>
      <c r="FB39" s="288" t="s">
        <v>429</v>
      </c>
      <c r="FC39" s="287">
        <v>0</v>
      </c>
      <c r="FD39" s="287">
        <v>1948261895</v>
      </c>
      <c r="FE39" s="287">
        <v>1988716882</v>
      </c>
      <c r="FF39" s="357">
        <f t="shared" si="39"/>
        <v>0</v>
      </c>
      <c r="FG39" s="357">
        <f t="shared" si="40"/>
        <v>1948261.895</v>
      </c>
      <c r="FH39" s="357">
        <f t="shared" si="41"/>
        <v>1988716.882</v>
      </c>
      <c r="FR39" s="364" t="s">
        <v>798</v>
      </c>
      <c r="FS39" s="280" t="s">
        <v>799</v>
      </c>
      <c r="FT39" s="280" t="s">
        <v>429</v>
      </c>
      <c r="FU39" s="280" t="s">
        <v>429</v>
      </c>
      <c r="FV39" s="357">
        <v>0</v>
      </c>
      <c r="FW39" s="357">
        <v>2388876314</v>
      </c>
      <c r="FX39" s="357">
        <v>2348257287</v>
      </c>
      <c r="FY39" s="306">
        <f t="shared" si="43"/>
        <v>0</v>
      </c>
      <c r="FZ39" s="306">
        <f t="shared" si="44"/>
        <v>2388876.3139999998</v>
      </c>
      <c r="GA39" s="306">
        <f t="shared" si="45"/>
        <v>2348257.287</v>
      </c>
      <c r="GK39" s="280" t="s">
        <v>798</v>
      </c>
      <c r="GL39" s="280" t="s">
        <v>799</v>
      </c>
      <c r="GM39" s="280" t="s">
        <v>429</v>
      </c>
      <c r="GN39" s="280" t="s">
        <v>429</v>
      </c>
      <c r="GO39" s="357">
        <v>3081761891</v>
      </c>
      <c r="GP39" s="357">
        <v>0</v>
      </c>
      <c r="GQ39" s="357">
        <v>0</v>
      </c>
      <c r="GR39" s="357">
        <f t="shared" si="47"/>
        <v>3081761.8909999998</v>
      </c>
      <c r="GS39" s="357">
        <f t="shared" si="48"/>
        <v>0</v>
      </c>
      <c r="GT39" s="357">
        <f t="shared" si="49"/>
        <v>0</v>
      </c>
      <c r="HC39" s="280" t="s">
        <v>798</v>
      </c>
      <c r="HD39" s="280" t="s">
        <v>799</v>
      </c>
      <c r="HE39" s="280" t="s">
        <v>429</v>
      </c>
      <c r="HF39" s="280" t="s">
        <v>429</v>
      </c>
      <c r="HG39" s="305">
        <v>2826341293</v>
      </c>
      <c r="HH39" s="305">
        <v>0</v>
      </c>
      <c r="HI39" s="305">
        <v>0</v>
      </c>
      <c r="HJ39" s="305">
        <f t="shared" si="51"/>
        <v>2826341.2930000001</v>
      </c>
      <c r="HK39" s="305">
        <f t="shared" si="52"/>
        <v>0</v>
      </c>
      <c r="HL39" s="305">
        <f t="shared" si="53"/>
        <v>0</v>
      </c>
    </row>
    <row r="40" spans="1:220" ht="15" customHeight="1" x14ac:dyDescent="0.2">
      <c r="T40" s="395" t="s">
        <v>847</v>
      </c>
      <c r="U40" s="396" t="s">
        <v>848</v>
      </c>
      <c r="V40" s="395" t="s">
        <v>429</v>
      </c>
      <c r="W40" s="396" t="s">
        <v>429</v>
      </c>
      <c r="X40" s="397">
        <v>3933000000</v>
      </c>
      <c r="Y40" s="397">
        <v>0</v>
      </c>
      <c r="Z40" s="397">
        <v>0</v>
      </c>
      <c r="AA40" s="358">
        <f t="shared" si="11"/>
        <v>4098186</v>
      </c>
      <c r="AB40" s="358">
        <f t="shared" si="12"/>
        <v>0</v>
      </c>
      <c r="AC40" s="358">
        <f t="shared" si="13"/>
        <v>0</v>
      </c>
      <c r="AM40" s="288" t="s">
        <v>806</v>
      </c>
      <c r="AN40" s="288" t="s">
        <v>807</v>
      </c>
      <c r="AO40" s="288" t="s">
        <v>429</v>
      </c>
      <c r="AP40" s="288" t="s">
        <v>429</v>
      </c>
      <c r="AQ40" s="288" t="s">
        <v>516</v>
      </c>
      <c r="AR40" s="398">
        <v>9719640000</v>
      </c>
      <c r="AS40" s="398">
        <v>0</v>
      </c>
      <c r="AT40" s="398">
        <v>0</v>
      </c>
      <c r="AU40" s="398">
        <f t="shared" si="15"/>
        <v>9719640</v>
      </c>
      <c r="AV40" s="398">
        <f t="shared" si="16"/>
        <v>0</v>
      </c>
      <c r="AW40" s="398">
        <f t="shared" si="17"/>
        <v>0</v>
      </c>
      <c r="BF40" s="365" t="s">
        <v>804</v>
      </c>
      <c r="BG40" s="399" t="s">
        <v>805</v>
      </c>
      <c r="BH40" s="286" t="s">
        <v>429</v>
      </c>
      <c r="BI40" s="288" t="s">
        <v>429</v>
      </c>
      <c r="BJ40" s="366">
        <v>19095077658</v>
      </c>
      <c r="BK40" s="366">
        <v>0</v>
      </c>
      <c r="BL40" s="366">
        <v>0</v>
      </c>
      <c r="BM40" s="366">
        <f t="shared" si="19"/>
        <v>19095077.658</v>
      </c>
      <c r="BN40" s="366">
        <f t="shared" si="20"/>
        <v>0</v>
      </c>
      <c r="BO40" s="366">
        <f t="shared" si="21"/>
        <v>0</v>
      </c>
      <c r="BY40" s="286" t="s">
        <v>802</v>
      </c>
      <c r="BZ40" s="286" t="s">
        <v>803</v>
      </c>
      <c r="CA40" s="286" t="s">
        <v>429</v>
      </c>
      <c r="CB40" s="286" t="s">
        <v>429</v>
      </c>
      <c r="CC40" s="288" t="s">
        <v>516</v>
      </c>
      <c r="CD40" s="287">
        <v>25451323184</v>
      </c>
      <c r="CE40" s="287">
        <v>0</v>
      </c>
      <c r="CF40" s="287">
        <v>0</v>
      </c>
      <c r="CG40" s="287">
        <f t="shared" si="23"/>
        <v>25451323.184</v>
      </c>
      <c r="CH40" s="287">
        <f t="shared" si="24"/>
        <v>0</v>
      </c>
      <c r="CI40" s="287">
        <f t="shared" si="25"/>
        <v>0</v>
      </c>
      <c r="CR40" s="288" t="s">
        <v>800</v>
      </c>
      <c r="CS40" s="288" t="s">
        <v>801</v>
      </c>
      <c r="CT40" s="288" t="s">
        <v>429</v>
      </c>
      <c r="CU40" s="288" t="s">
        <v>429</v>
      </c>
      <c r="CV40" s="287">
        <v>1567372802</v>
      </c>
      <c r="CW40" s="287">
        <v>0</v>
      </c>
      <c r="CX40" s="287">
        <v>0</v>
      </c>
      <c r="CY40" s="287">
        <f t="shared" si="27"/>
        <v>1567372.8019999999</v>
      </c>
      <c r="CZ40" s="287">
        <f t="shared" si="28"/>
        <v>0</v>
      </c>
      <c r="DA40" s="287">
        <f t="shared" si="29"/>
        <v>0</v>
      </c>
      <c r="DK40" s="286" t="s">
        <v>800</v>
      </c>
      <c r="DL40" s="288" t="s">
        <v>801</v>
      </c>
      <c r="DM40" s="286" t="s">
        <v>429</v>
      </c>
      <c r="DN40" s="288" t="s">
        <v>429</v>
      </c>
      <c r="DO40" s="287">
        <v>1341536962</v>
      </c>
      <c r="DP40" s="287">
        <v>0</v>
      </c>
      <c r="DQ40" s="287">
        <v>0</v>
      </c>
      <c r="DR40" s="287">
        <f t="shared" si="31"/>
        <v>1341536.9620000001</v>
      </c>
      <c r="DS40" s="287">
        <f t="shared" si="32"/>
        <v>0</v>
      </c>
      <c r="DT40" s="287">
        <f t="shared" si="33"/>
        <v>0</v>
      </c>
      <c r="EE40" s="286" t="s">
        <v>800</v>
      </c>
      <c r="EF40" s="288" t="s">
        <v>801</v>
      </c>
      <c r="EG40" s="288" t="s">
        <v>429</v>
      </c>
      <c r="EH40" s="288" t="s">
        <v>429</v>
      </c>
      <c r="EI40" s="287">
        <v>1916315352</v>
      </c>
      <c r="EJ40" s="287">
        <v>0</v>
      </c>
      <c r="EK40" s="287">
        <v>0</v>
      </c>
      <c r="EL40" s="358">
        <f t="shared" si="35"/>
        <v>1916315.352</v>
      </c>
      <c r="EM40" s="358">
        <f t="shared" si="36"/>
        <v>0</v>
      </c>
      <c r="EN40" s="358">
        <f t="shared" si="37"/>
        <v>0</v>
      </c>
      <c r="EV40" s="357"/>
      <c r="EY40" s="286" t="s">
        <v>800</v>
      </c>
      <c r="EZ40" s="288" t="s">
        <v>801</v>
      </c>
      <c r="FA40" s="288" t="s">
        <v>429</v>
      </c>
      <c r="FB40" s="288" t="s">
        <v>429</v>
      </c>
      <c r="FC40" s="287">
        <v>2622597793</v>
      </c>
      <c r="FD40" s="287">
        <v>0</v>
      </c>
      <c r="FE40" s="287">
        <v>0</v>
      </c>
      <c r="FF40" s="357">
        <f t="shared" si="39"/>
        <v>2622597.7930000001</v>
      </c>
      <c r="FG40" s="357">
        <f t="shared" si="40"/>
        <v>0</v>
      </c>
      <c r="FH40" s="357">
        <f t="shared" si="41"/>
        <v>0</v>
      </c>
      <c r="FR40" s="364" t="s">
        <v>800</v>
      </c>
      <c r="FS40" s="280" t="s">
        <v>801</v>
      </c>
      <c r="FT40" s="280" t="s">
        <v>429</v>
      </c>
      <c r="FU40" s="280" t="s">
        <v>429</v>
      </c>
      <c r="FV40" s="357">
        <v>2622597793</v>
      </c>
      <c r="FW40" s="357">
        <v>0</v>
      </c>
      <c r="FX40" s="357">
        <v>0</v>
      </c>
      <c r="FY40" s="306">
        <f t="shared" si="43"/>
        <v>2622597.7930000001</v>
      </c>
      <c r="FZ40" s="306">
        <f t="shared" si="44"/>
        <v>0</v>
      </c>
      <c r="GA40" s="306">
        <f t="shared" si="45"/>
        <v>0</v>
      </c>
      <c r="GK40" s="280" t="s">
        <v>798</v>
      </c>
      <c r="GL40" s="280" t="s">
        <v>799</v>
      </c>
      <c r="GM40" s="280" t="s">
        <v>429</v>
      </c>
      <c r="GN40" s="280" t="s">
        <v>429</v>
      </c>
      <c r="GO40" s="357">
        <v>0</v>
      </c>
      <c r="GP40" s="357">
        <v>2388876314</v>
      </c>
      <c r="GQ40" s="357">
        <v>2357757287</v>
      </c>
      <c r="GR40" s="357">
        <f t="shared" si="47"/>
        <v>0</v>
      </c>
      <c r="GS40" s="357">
        <f t="shared" si="48"/>
        <v>2388876.3139999998</v>
      </c>
      <c r="GT40" s="357">
        <f t="shared" si="49"/>
        <v>2357757.287</v>
      </c>
      <c r="HC40" s="280" t="s">
        <v>798</v>
      </c>
      <c r="HD40" s="280" t="s">
        <v>799</v>
      </c>
      <c r="HE40" s="280" t="s">
        <v>429</v>
      </c>
      <c r="HF40" s="280" t="s">
        <v>429</v>
      </c>
      <c r="HG40" s="305">
        <v>0</v>
      </c>
      <c r="HH40" s="305">
        <v>2826341293</v>
      </c>
      <c r="HI40" s="305">
        <v>2826341293</v>
      </c>
      <c r="HJ40" s="305">
        <f t="shared" si="51"/>
        <v>0</v>
      </c>
      <c r="HK40" s="305">
        <f t="shared" si="52"/>
        <v>2826341.2930000001</v>
      </c>
      <c r="HL40" s="305">
        <f t="shared" si="53"/>
        <v>2826341.2930000001</v>
      </c>
    </row>
    <row r="41" spans="1:220" ht="15" customHeight="1" x14ac:dyDescent="0.2">
      <c r="T41" s="395" t="s">
        <v>434</v>
      </c>
      <c r="U41" s="396" t="s">
        <v>127</v>
      </c>
      <c r="V41" s="395" t="s">
        <v>429</v>
      </c>
      <c r="W41" s="396" t="s">
        <v>429</v>
      </c>
      <c r="X41" s="397">
        <v>10100</v>
      </c>
      <c r="Y41" s="397">
        <v>0</v>
      </c>
      <c r="Z41" s="397">
        <v>0</v>
      </c>
      <c r="AA41" s="358">
        <f t="shared" si="11"/>
        <v>10.5242</v>
      </c>
      <c r="AB41" s="358">
        <f t="shared" si="12"/>
        <v>0</v>
      </c>
      <c r="AC41" s="358">
        <f t="shared" si="13"/>
        <v>0</v>
      </c>
      <c r="AM41" s="288" t="s">
        <v>430</v>
      </c>
      <c r="AN41" s="288" t="s">
        <v>448</v>
      </c>
      <c r="AO41" s="288" t="s">
        <v>429</v>
      </c>
      <c r="AP41" s="288" t="s">
        <v>429</v>
      </c>
      <c r="AQ41" s="288" t="s">
        <v>516</v>
      </c>
      <c r="AR41" s="398">
        <v>17089021000</v>
      </c>
      <c r="AS41" s="398">
        <v>0</v>
      </c>
      <c r="AT41" s="398">
        <v>0</v>
      </c>
      <c r="AU41" s="398">
        <f t="shared" si="15"/>
        <v>17089021</v>
      </c>
      <c r="AV41" s="398">
        <f t="shared" si="16"/>
        <v>0</v>
      </c>
      <c r="AW41" s="398">
        <f t="shared" si="17"/>
        <v>0</v>
      </c>
      <c r="BF41" s="365" t="s">
        <v>804</v>
      </c>
      <c r="BG41" s="399" t="s">
        <v>805</v>
      </c>
      <c r="BH41" s="286" t="s">
        <v>429</v>
      </c>
      <c r="BI41" s="288" t="s">
        <v>429</v>
      </c>
      <c r="BJ41" s="366">
        <v>0</v>
      </c>
      <c r="BK41" s="366">
        <v>5264105171</v>
      </c>
      <c r="BL41" s="366">
        <v>3958492562</v>
      </c>
      <c r="BM41" s="366">
        <f t="shared" si="19"/>
        <v>0</v>
      </c>
      <c r="BN41" s="366">
        <f t="shared" si="20"/>
        <v>5264105.1710000001</v>
      </c>
      <c r="BO41" s="366">
        <f t="shared" si="21"/>
        <v>3958492.5619999999</v>
      </c>
      <c r="BY41" s="286" t="s">
        <v>802</v>
      </c>
      <c r="BZ41" s="286" t="s">
        <v>803</v>
      </c>
      <c r="CA41" s="286" t="s">
        <v>429</v>
      </c>
      <c r="CB41" s="286" t="s">
        <v>429</v>
      </c>
      <c r="CC41" s="288" t="s">
        <v>516</v>
      </c>
      <c r="CD41" s="287">
        <v>0</v>
      </c>
      <c r="CE41" s="287">
        <v>292620000</v>
      </c>
      <c r="CF41" s="287">
        <v>292620000</v>
      </c>
      <c r="CG41" s="287">
        <f t="shared" si="23"/>
        <v>0</v>
      </c>
      <c r="CH41" s="287">
        <f t="shared" si="24"/>
        <v>292620</v>
      </c>
      <c r="CI41" s="287">
        <f t="shared" si="25"/>
        <v>292620</v>
      </c>
      <c r="CR41" s="288" t="s">
        <v>800</v>
      </c>
      <c r="CS41" s="288" t="s">
        <v>801</v>
      </c>
      <c r="CT41" s="288" t="s">
        <v>429</v>
      </c>
      <c r="CU41" s="288" t="s">
        <v>429</v>
      </c>
      <c r="CV41" s="287">
        <v>0</v>
      </c>
      <c r="CW41" s="287">
        <v>440348290</v>
      </c>
      <c r="CX41" s="287">
        <v>440348290</v>
      </c>
      <c r="CY41" s="287">
        <f t="shared" si="27"/>
        <v>0</v>
      </c>
      <c r="CZ41" s="287">
        <f t="shared" si="28"/>
        <v>440348.29</v>
      </c>
      <c r="DA41" s="287">
        <f t="shared" si="29"/>
        <v>440348.29</v>
      </c>
      <c r="DK41" s="286" t="s">
        <v>800</v>
      </c>
      <c r="DL41" s="288" t="s">
        <v>801</v>
      </c>
      <c r="DM41" s="286" t="s">
        <v>429</v>
      </c>
      <c r="DN41" s="288" t="s">
        <v>429</v>
      </c>
      <c r="DO41" s="287">
        <v>0</v>
      </c>
      <c r="DP41" s="287">
        <v>763648290</v>
      </c>
      <c r="DQ41" s="287">
        <v>440348290</v>
      </c>
      <c r="DR41" s="287">
        <f t="shared" si="31"/>
        <v>0</v>
      </c>
      <c r="DS41" s="287">
        <f t="shared" si="32"/>
        <v>763648.29</v>
      </c>
      <c r="DT41" s="287">
        <f t="shared" si="33"/>
        <v>440348.29</v>
      </c>
      <c r="EE41" s="286" t="s">
        <v>800</v>
      </c>
      <c r="EF41" s="288" t="s">
        <v>801</v>
      </c>
      <c r="EG41" s="288" t="s">
        <v>429</v>
      </c>
      <c r="EH41" s="288" t="s">
        <v>429</v>
      </c>
      <c r="EI41" s="287">
        <v>0</v>
      </c>
      <c r="EJ41" s="287">
        <v>934442415</v>
      </c>
      <c r="EK41" s="287">
        <v>874982415</v>
      </c>
      <c r="EL41" s="358">
        <f t="shared" si="35"/>
        <v>0</v>
      </c>
      <c r="EM41" s="358">
        <f t="shared" si="36"/>
        <v>934442.41500000004</v>
      </c>
      <c r="EN41" s="358">
        <f t="shared" si="37"/>
        <v>874982.41500000004</v>
      </c>
      <c r="EV41" s="357"/>
      <c r="EY41" s="286" t="s">
        <v>800</v>
      </c>
      <c r="EZ41" s="288" t="s">
        <v>801</v>
      </c>
      <c r="FA41" s="288" t="s">
        <v>429</v>
      </c>
      <c r="FB41" s="288" t="s">
        <v>429</v>
      </c>
      <c r="FC41" s="287">
        <v>0</v>
      </c>
      <c r="FD41" s="287">
        <v>874982415</v>
      </c>
      <c r="FE41" s="287">
        <v>934442415</v>
      </c>
      <c r="FF41" s="357">
        <f t="shared" si="39"/>
        <v>0</v>
      </c>
      <c r="FG41" s="357">
        <f t="shared" si="40"/>
        <v>874982.41500000004</v>
      </c>
      <c r="FH41" s="357">
        <f t="shared" si="41"/>
        <v>934442.41500000004</v>
      </c>
      <c r="FR41" s="364" t="s">
        <v>800</v>
      </c>
      <c r="FS41" s="280" t="s">
        <v>801</v>
      </c>
      <c r="FT41" s="280" t="s">
        <v>429</v>
      </c>
      <c r="FU41" s="280" t="s">
        <v>429</v>
      </c>
      <c r="FV41" s="357">
        <v>0</v>
      </c>
      <c r="FW41" s="357">
        <v>1112358915</v>
      </c>
      <c r="FX41" s="357">
        <v>1052898915</v>
      </c>
      <c r="FY41" s="306">
        <f t="shared" si="43"/>
        <v>0</v>
      </c>
      <c r="FZ41" s="306">
        <f t="shared" si="44"/>
        <v>1112358.915</v>
      </c>
      <c r="GA41" s="306">
        <f t="shared" si="45"/>
        <v>1052898.915</v>
      </c>
      <c r="GK41" s="280" t="s">
        <v>800</v>
      </c>
      <c r="GL41" s="280" t="s">
        <v>801</v>
      </c>
      <c r="GM41" s="280" t="s">
        <v>429</v>
      </c>
      <c r="GN41" s="280" t="s">
        <v>429</v>
      </c>
      <c r="GO41" s="357">
        <v>3305150603</v>
      </c>
      <c r="GP41" s="357">
        <v>0</v>
      </c>
      <c r="GQ41" s="357">
        <v>0</v>
      </c>
      <c r="GR41" s="357">
        <f t="shared" si="47"/>
        <v>3305150.6030000001</v>
      </c>
      <c r="GS41" s="357">
        <f t="shared" si="48"/>
        <v>0</v>
      </c>
      <c r="GT41" s="357">
        <f t="shared" si="49"/>
        <v>0</v>
      </c>
      <c r="HC41" s="280" t="s">
        <v>800</v>
      </c>
      <c r="HD41" s="280" t="s">
        <v>801</v>
      </c>
      <c r="HE41" s="280" t="s">
        <v>429</v>
      </c>
      <c r="HF41" s="280" t="s">
        <v>429</v>
      </c>
      <c r="HG41" s="305">
        <v>2820166520</v>
      </c>
      <c r="HH41" s="305">
        <v>0</v>
      </c>
      <c r="HI41" s="305">
        <v>0</v>
      </c>
      <c r="HJ41" s="305">
        <f t="shared" si="51"/>
        <v>2820166.52</v>
      </c>
      <c r="HK41" s="305">
        <f t="shared" si="52"/>
        <v>0</v>
      </c>
      <c r="HL41" s="305">
        <f t="shared" si="53"/>
        <v>0</v>
      </c>
    </row>
    <row r="42" spans="1:220" ht="15" customHeight="1" x14ac:dyDescent="0.2">
      <c r="T42" s="395" t="s">
        <v>434</v>
      </c>
      <c r="U42" s="396" t="s">
        <v>127</v>
      </c>
      <c r="V42" s="395" t="s">
        <v>429</v>
      </c>
      <c r="W42" s="396" t="s">
        <v>429</v>
      </c>
      <c r="X42" s="397">
        <v>0</v>
      </c>
      <c r="Y42" s="397">
        <v>15276251603</v>
      </c>
      <c r="Z42" s="397">
        <v>15276251603</v>
      </c>
      <c r="AA42" s="358">
        <f t="shared" si="11"/>
        <v>0</v>
      </c>
      <c r="AB42" s="358">
        <f t="shared" si="12"/>
        <v>15917854.170326</v>
      </c>
      <c r="AC42" s="358">
        <f t="shared" si="13"/>
        <v>15917854.170326</v>
      </c>
      <c r="AM42" s="288" t="s">
        <v>433</v>
      </c>
      <c r="AN42" s="288" t="s">
        <v>449</v>
      </c>
      <c r="AO42" s="288" t="s">
        <v>429</v>
      </c>
      <c r="AP42" s="288" t="s">
        <v>429</v>
      </c>
      <c r="AQ42" s="288" t="s">
        <v>516</v>
      </c>
      <c r="AR42" s="398">
        <v>8937547000</v>
      </c>
      <c r="AS42" s="398">
        <v>0</v>
      </c>
      <c r="AT42" s="398">
        <v>0</v>
      </c>
      <c r="AU42" s="398">
        <f t="shared" si="15"/>
        <v>8937547</v>
      </c>
      <c r="AV42" s="398">
        <f t="shared" si="16"/>
        <v>0</v>
      </c>
      <c r="AW42" s="398">
        <f t="shared" si="17"/>
        <v>0</v>
      </c>
      <c r="BF42" s="365" t="s">
        <v>806</v>
      </c>
      <c r="BG42" s="399" t="s">
        <v>807</v>
      </c>
      <c r="BH42" s="286" t="s">
        <v>429</v>
      </c>
      <c r="BI42" s="288" t="s">
        <v>429</v>
      </c>
      <c r="BJ42" s="366">
        <v>9719640000</v>
      </c>
      <c r="BK42" s="366">
        <v>0</v>
      </c>
      <c r="BL42" s="366">
        <v>0</v>
      </c>
      <c r="BM42" s="366">
        <f t="shared" si="19"/>
        <v>9719640</v>
      </c>
      <c r="BN42" s="366">
        <f t="shared" si="20"/>
        <v>0</v>
      </c>
      <c r="BO42" s="366">
        <f t="shared" si="21"/>
        <v>0</v>
      </c>
      <c r="BY42" s="286" t="s">
        <v>804</v>
      </c>
      <c r="BZ42" s="286" t="s">
        <v>805</v>
      </c>
      <c r="CA42" s="286" t="s">
        <v>429</v>
      </c>
      <c r="CB42" s="286" t="s">
        <v>429</v>
      </c>
      <c r="CC42" s="288" t="s">
        <v>516</v>
      </c>
      <c r="CD42" s="287">
        <v>19686055658</v>
      </c>
      <c r="CE42" s="287">
        <v>0</v>
      </c>
      <c r="CF42" s="287">
        <v>0</v>
      </c>
      <c r="CG42" s="287">
        <f t="shared" si="23"/>
        <v>19686055.658</v>
      </c>
      <c r="CH42" s="287">
        <f t="shared" si="24"/>
        <v>0</v>
      </c>
      <c r="CI42" s="287">
        <f t="shared" si="25"/>
        <v>0</v>
      </c>
      <c r="CR42" s="288" t="s">
        <v>802</v>
      </c>
      <c r="CS42" s="288" t="s">
        <v>803</v>
      </c>
      <c r="CT42" s="288" t="s">
        <v>429</v>
      </c>
      <c r="CU42" s="288" t="s">
        <v>429</v>
      </c>
      <c r="CV42" s="287">
        <v>25451323184</v>
      </c>
      <c r="CW42" s="287">
        <v>0</v>
      </c>
      <c r="CX42" s="287">
        <v>0</v>
      </c>
      <c r="CY42" s="287">
        <f t="shared" si="27"/>
        <v>25451323.184</v>
      </c>
      <c r="CZ42" s="287">
        <f t="shared" si="28"/>
        <v>0</v>
      </c>
      <c r="DA42" s="287">
        <f t="shared" si="29"/>
        <v>0</v>
      </c>
      <c r="DK42" s="286" t="s">
        <v>802</v>
      </c>
      <c r="DL42" s="288" t="s">
        <v>803</v>
      </c>
      <c r="DM42" s="286" t="s">
        <v>429</v>
      </c>
      <c r="DN42" s="288" t="s">
        <v>429</v>
      </c>
      <c r="DO42" s="287">
        <v>25451323184</v>
      </c>
      <c r="DP42" s="287">
        <v>0</v>
      </c>
      <c r="DQ42" s="287">
        <v>0</v>
      </c>
      <c r="DR42" s="287">
        <f t="shared" si="31"/>
        <v>25451323.184</v>
      </c>
      <c r="DS42" s="287">
        <f t="shared" si="32"/>
        <v>0</v>
      </c>
      <c r="DT42" s="287">
        <f t="shared" si="33"/>
        <v>0</v>
      </c>
      <c r="EE42" s="286" t="s">
        <v>802</v>
      </c>
      <c r="EF42" s="288" t="s">
        <v>803</v>
      </c>
      <c r="EG42" s="288" t="s">
        <v>429</v>
      </c>
      <c r="EH42" s="288" t="s">
        <v>429</v>
      </c>
      <c r="EI42" s="287">
        <v>25451323184</v>
      </c>
      <c r="EJ42" s="287">
        <v>0</v>
      </c>
      <c r="EK42" s="287">
        <v>0</v>
      </c>
      <c r="EL42" s="358">
        <f t="shared" si="35"/>
        <v>25451323.184</v>
      </c>
      <c r="EM42" s="358">
        <f t="shared" si="36"/>
        <v>0</v>
      </c>
      <c r="EN42" s="358">
        <f t="shared" si="37"/>
        <v>0</v>
      </c>
      <c r="EV42" s="357"/>
      <c r="EY42" s="286" t="s">
        <v>802</v>
      </c>
      <c r="EZ42" s="288" t="s">
        <v>803</v>
      </c>
      <c r="FA42" s="288" t="s">
        <v>429</v>
      </c>
      <c r="FB42" s="288" t="s">
        <v>429</v>
      </c>
      <c r="FC42" s="287">
        <v>15355478136</v>
      </c>
      <c r="FD42" s="287">
        <v>0</v>
      </c>
      <c r="FE42" s="287">
        <v>0</v>
      </c>
      <c r="FF42" s="357">
        <f t="shared" si="39"/>
        <v>15355478.136</v>
      </c>
      <c r="FG42" s="357">
        <f t="shared" si="40"/>
        <v>0</v>
      </c>
      <c r="FH42" s="357">
        <f t="shared" si="41"/>
        <v>0</v>
      </c>
      <c r="FR42" s="364" t="s">
        <v>802</v>
      </c>
      <c r="FS42" s="280" t="s">
        <v>803</v>
      </c>
      <c r="FT42" s="280" t="s">
        <v>429</v>
      </c>
      <c r="FU42" s="280" t="s">
        <v>429</v>
      </c>
      <c r="FV42" s="357">
        <v>15355478136</v>
      </c>
      <c r="FW42" s="357">
        <v>0</v>
      </c>
      <c r="FX42" s="357">
        <v>0</v>
      </c>
      <c r="FY42" s="306">
        <f t="shared" si="43"/>
        <v>15355478.136</v>
      </c>
      <c r="FZ42" s="306">
        <f t="shared" si="44"/>
        <v>0</v>
      </c>
      <c r="GA42" s="306">
        <f t="shared" si="45"/>
        <v>0</v>
      </c>
      <c r="GK42" s="280" t="s">
        <v>800</v>
      </c>
      <c r="GL42" s="280" t="s">
        <v>801</v>
      </c>
      <c r="GM42" s="280" t="s">
        <v>429</v>
      </c>
      <c r="GN42" s="280" t="s">
        <v>429</v>
      </c>
      <c r="GO42" s="357">
        <v>0</v>
      </c>
      <c r="GP42" s="357">
        <v>1141336020</v>
      </c>
      <c r="GQ42" s="357">
        <v>1125429770</v>
      </c>
      <c r="GR42" s="357">
        <f t="shared" si="47"/>
        <v>0</v>
      </c>
      <c r="GS42" s="357">
        <f t="shared" si="48"/>
        <v>1141336.02</v>
      </c>
      <c r="GT42" s="357">
        <f t="shared" si="49"/>
        <v>1125429.77</v>
      </c>
      <c r="HC42" s="280" t="s">
        <v>800</v>
      </c>
      <c r="HD42" s="280" t="s">
        <v>801</v>
      </c>
      <c r="HE42" s="280" t="s">
        <v>429</v>
      </c>
      <c r="HF42" s="280" t="s">
        <v>429</v>
      </c>
      <c r="HG42" s="305">
        <v>0</v>
      </c>
      <c r="HH42" s="305">
        <v>2820166520</v>
      </c>
      <c r="HI42" s="305">
        <v>2820166520</v>
      </c>
      <c r="HJ42" s="305">
        <f t="shared" si="51"/>
        <v>0</v>
      </c>
      <c r="HK42" s="305">
        <f t="shared" si="52"/>
        <v>2820166.52</v>
      </c>
      <c r="HL42" s="305">
        <f t="shared" si="53"/>
        <v>2820166.52</v>
      </c>
    </row>
    <row r="43" spans="1:220" ht="15" customHeight="1" x14ac:dyDescent="0.2">
      <c r="AM43" s="288" t="s">
        <v>433</v>
      </c>
      <c r="AN43" s="288" t="s">
        <v>449</v>
      </c>
      <c r="AO43" s="288" t="s">
        <v>429</v>
      </c>
      <c r="AP43" s="288" t="s">
        <v>429</v>
      </c>
      <c r="AQ43" s="288" t="s">
        <v>516</v>
      </c>
      <c r="AR43" s="398">
        <v>0</v>
      </c>
      <c r="AS43" s="398">
        <v>523119107</v>
      </c>
      <c r="AT43" s="398">
        <v>523119107</v>
      </c>
      <c r="AU43" s="398">
        <f t="shared" si="15"/>
        <v>0</v>
      </c>
      <c r="AV43" s="398">
        <f t="shared" si="16"/>
        <v>523119.10700000002</v>
      </c>
      <c r="AW43" s="398">
        <f t="shared" si="17"/>
        <v>523119.10700000002</v>
      </c>
      <c r="BF43" s="286" t="s">
        <v>806</v>
      </c>
      <c r="BG43" s="399" t="s">
        <v>807</v>
      </c>
      <c r="BH43" s="286" t="s">
        <v>429</v>
      </c>
      <c r="BI43" s="288" t="s">
        <v>429</v>
      </c>
      <c r="BJ43" s="287">
        <v>0</v>
      </c>
      <c r="BK43" s="287">
        <v>1222430468</v>
      </c>
      <c r="BL43" s="287">
        <v>0</v>
      </c>
      <c r="BM43" s="366">
        <f t="shared" si="19"/>
        <v>0</v>
      </c>
      <c r="BN43" s="366">
        <f t="shared" si="20"/>
        <v>1222430.4680000001</v>
      </c>
      <c r="BO43" s="366">
        <f t="shared" si="21"/>
        <v>0</v>
      </c>
      <c r="BY43" s="286" t="s">
        <v>804</v>
      </c>
      <c r="BZ43" s="286" t="s">
        <v>805</v>
      </c>
      <c r="CA43" s="286" t="s">
        <v>429</v>
      </c>
      <c r="CB43" s="286" t="s">
        <v>429</v>
      </c>
      <c r="CC43" s="288" t="s">
        <v>516</v>
      </c>
      <c r="CD43" s="287">
        <v>0</v>
      </c>
      <c r="CE43" s="287">
        <v>6523457180</v>
      </c>
      <c r="CF43" s="287">
        <v>5820850175</v>
      </c>
      <c r="CG43" s="287">
        <f t="shared" si="23"/>
        <v>0</v>
      </c>
      <c r="CH43" s="287">
        <f t="shared" si="24"/>
        <v>6523457.1799999997</v>
      </c>
      <c r="CI43" s="287">
        <f t="shared" si="25"/>
        <v>5820850.1749999998</v>
      </c>
      <c r="CR43" s="288" t="s">
        <v>802</v>
      </c>
      <c r="CS43" s="288" t="s">
        <v>803</v>
      </c>
      <c r="CT43" s="288" t="s">
        <v>429</v>
      </c>
      <c r="CU43" s="288" t="s">
        <v>429</v>
      </c>
      <c r="CV43" s="287">
        <v>0</v>
      </c>
      <c r="CW43" s="287">
        <v>678013109</v>
      </c>
      <c r="CX43" s="287">
        <v>382620000</v>
      </c>
      <c r="CY43" s="287">
        <f t="shared" si="27"/>
        <v>0</v>
      </c>
      <c r="CZ43" s="287">
        <f t="shared" si="28"/>
        <v>678013.10900000005</v>
      </c>
      <c r="DA43" s="287">
        <f t="shared" si="29"/>
        <v>382620</v>
      </c>
      <c r="DK43" s="286" t="s">
        <v>802</v>
      </c>
      <c r="DL43" s="288" t="s">
        <v>803</v>
      </c>
      <c r="DM43" s="286" t="s">
        <v>429</v>
      </c>
      <c r="DN43" s="288" t="s">
        <v>429</v>
      </c>
      <c r="DO43" s="287">
        <v>0</v>
      </c>
      <c r="DP43" s="287">
        <v>678013109</v>
      </c>
      <c r="DQ43" s="287">
        <v>678013109</v>
      </c>
      <c r="DR43" s="287">
        <f t="shared" si="31"/>
        <v>0</v>
      </c>
      <c r="DS43" s="287">
        <f t="shared" si="32"/>
        <v>678013.10900000005</v>
      </c>
      <c r="DT43" s="287">
        <f t="shared" si="33"/>
        <v>678013.10900000005</v>
      </c>
      <c r="EE43" s="286" t="s">
        <v>802</v>
      </c>
      <c r="EF43" s="288" t="s">
        <v>803</v>
      </c>
      <c r="EG43" s="288" t="s">
        <v>429</v>
      </c>
      <c r="EH43" s="288" t="s">
        <v>429</v>
      </c>
      <c r="EI43" s="287">
        <v>0</v>
      </c>
      <c r="EJ43" s="287">
        <v>1978975924</v>
      </c>
      <c r="EK43" s="287">
        <v>1866684487</v>
      </c>
      <c r="EL43" s="358">
        <f t="shared" si="35"/>
        <v>0</v>
      </c>
      <c r="EM43" s="358">
        <f t="shared" si="36"/>
        <v>1978975.9240000001</v>
      </c>
      <c r="EN43" s="358">
        <f t="shared" si="37"/>
        <v>1866684.487</v>
      </c>
      <c r="EV43" s="357"/>
      <c r="EY43" s="286" t="s">
        <v>802</v>
      </c>
      <c r="EZ43" s="288" t="s">
        <v>803</v>
      </c>
      <c r="FA43" s="288" t="s">
        <v>429</v>
      </c>
      <c r="FB43" s="288" t="s">
        <v>429</v>
      </c>
      <c r="FC43" s="287">
        <v>0</v>
      </c>
      <c r="FD43" s="287">
        <v>2919666950</v>
      </c>
      <c r="FE43" s="287">
        <v>2919666950</v>
      </c>
      <c r="FF43" s="357">
        <f t="shared" si="39"/>
        <v>0</v>
      </c>
      <c r="FG43" s="357">
        <f t="shared" si="40"/>
        <v>2919666.95</v>
      </c>
      <c r="FH43" s="357">
        <f t="shared" si="41"/>
        <v>2919666.95</v>
      </c>
      <c r="FR43" s="364" t="s">
        <v>802</v>
      </c>
      <c r="FS43" s="280" t="s">
        <v>803</v>
      </c>
      <c r="FT43" s="280" t="s">
        <v>429</v>
      </c>
      <c r="FU43" s="280" t="s">
        <v>429</v>
      </c>
      <c r="FV43" s="357">
        <v>0</v>
      </c>
      <c r="FW43" s="357">
        <v>6360108842</v>
      </c>
      <c r="FX43" s="357">
        <v>5534951065</v>
      </c>
      <c r="FY43" s="306">
        <f t="shared" si="43"/>
        <v>0</v>
      </c>
      <c r="FZ43" s="306">
        <f t="shared" si="44"/>
        <v>6360108.8420000002</v>
      </c>
      <c r="GA43" s="306">
        <f t="shared" si="45"/>
        <v>5534951.0650000004</v>
      </c>
      <c r="GK43" s="280" t="s">
        <v>802</v>
      </c>
      <c r="GL43" s="280" t="s">
        <v>803</v>
      </c>
      <c r="GM43" s="280" t="s">
        <v>429</v>
      </c>
      <c r="GN43" s="280" t="s">
        <v>429</v>
      </c>
      <c r="GO43" s="357">
        <v>9672611685</v>
      </c>
      <c r="GP43" s="357">
        <v>0</v>
      </c>
      <c r="GQ43" s="357">
        <v>0</v>
      </c>
      <c r="GR43" s="357">
        <f t="shared" si="47"/>
        <v>9672611.6850000005</v>
      </c>
      <c r="GS43" s="357">
        <f t="shared" si="48"/>
        <v>0</v>
      </c>
      <c r="GT43" s="357">
        <f t="shared" si="49"/>
        <v>0</v>
      </c>
      <c r="HC43" s="280" t="s">
        <v>802</v>
      </c>
      <c r="HD43" s="280" t="s">
        <v>803</v>
      </c>
      <c r="HE43" s="280" t="s">
        <v>429</v>
      </c>
      <c r="HF43" s="280" t="s">
        <v>429</v>
      </c>
      <c r="HG43" s="305">
        <v>9619759034</v>
      </c>
      <c r="HH43" s="305">
        <v>0</v>
      </c>
      <c r="HI43" s="305">
        <v>0</v>
      </c>
      <c r="HJ43" s="305">
        <f t="shared" si="51"/>
        <v>9619759.034</v>
      </c>
      <c r="HK43" s="305">
        <f t="shared" si="52"/>
        <v>0</v>
      </c>
      <c r="HL43" s="305">
        <f t="shared" si="53"/>
        <v>0</v>
      </c>
    </row>
    <row r="44" spans="1:220" ht="15" customHeight="1" x14ac:dyDescent="0.2">
      <c r="AM44" s="288" t="s">
        <v>847</v>
      </c>
      <c r="AN44" s="288" t="s">
        <v>848</v>
      </c>
      <c r="AO44" s="288" t="s">
        <v>429</v>
      </c>
      <c r="AP44" s="288" t="s">
        <v>429</v>
      </c>
      <c r="AQ44" s="288" t="s">
        <v>516</v>
      </c>
      <c r="AR44" s="398">
        <v>3933000000</v>
      </c>
      <c r="AS44" s="398">
        <v>0</v>
      </c>
      <c r="AT44" s="398">
        <v>0</v>
      </c>
      <c r="AU44" s="398">
        <f t="shared" si="15"/>
        <v>3933000</v>
      </c>
      <c r="AV44" s="398">
        <f t="shared" si="16"/>
        <v>0</v>
      </c>
      <c r="AW44" s="398">
        <f t="shared" si="17"/>
        <v>0</v>
      </c>
      <c r="BF44" s="286" t="s">
        <v>430</v>
      </c>
      <c r="BG44" s="399" t="s">
        <v>448</v>
      </c>
      <c r="BH44" s="286" t="s">
        <v>429</v>
      </c>
      <c r="BI44" s="288" t="s">
        <v>429</v>
      </c>
      <c r="BJ44" s="287">
        <v>17089021000</v>
      </c>
      <c r="BK44" s="287">
        <v>0</v>
      </c>
      <c r="BL44" s="287">
        <v>0</v>
      </c>
      <c r="BM44" s="366">
        <f t="shared" si="19"/>
        <v>17089021</v>
      </c>
      <c r="BN44" s="366">
        <f t="shared" si="20"/>
        <v>0</v>
      </c>
      <c r="BO44" s="366">
        <f t="shared" si="21"/>
        <v>0</v>
      </c>
      <c r="BY44" s="286" t="s">
        <v>806</v>
      </c>
      <c r="BZ44" s="286" t="s">
        <v>807</v>
      </c>
      <c r="CA44" s="286" t="s">
        <v>429</v>
      </c>
      <c r="CB44" s="286" t="s">
        <v>429</v>
      </c>
      <c r="CC44" s="288" t="s">
        <v>516</v>
      </c>
      <c r="CD44" s="287">
        <v>9719640000</v>
      </c>
      <c r="CE44" s="287">
        <v>0</v>
      </c>
      <c r="CF44" s="287">
        <v>0</v>
      </c>
      <c r="CG44" s="287">
        <f t="shared" si="23"/>
        <v>9719640</v>
      </c>
      <c r="CH44" s="287">
        <f t="shared" si="24"/>
        <v>0</v>
      </c>
      <c r="CI44" s="287">
        <f t="shared" si="25"/>
        <v>0</v>
      </c>
      <c r="CR44" s="288" t="s">
        <v>804</v>
      </c>
      <c r="CS44" s="288" t="s">
        <v>805</v>
      </c>
      <c r="CT44" s="288" t="s">
        <v>429</v>
      </c>
      <c r="CU44" s="288" t="s">
        <v>429</v>
      </c>
      <c r="CV44" s="287">
        <v>19686055658</v>
      </c>
      <c r="CW44" s="287">
        <v>0</v>
      </c>
      <c r="CX44" s="287">
        <v>0</v>
      </c>
      <c r="CY44" s="287">
        <f t="shared" si="27"/>
        <v>19686055.658</v>
      </c>
      <c r="CZ44" s="287">
        <f t="shared" si="28"/>
        <v>0</v>
      </c>
      <c r="DA44" s="287">
        <f t="shared" si="29"/>
        <v>0</v>
      </c>
      <c r="DK44" s="286" t="s">
        <v>804</v>
      </c>
      <c r="DL44" s="288" t="s">
        <v>805</v>
      </c>
      <c r="DM44" s="286" t="s">
        <v>429</v>
      </c>
      <c r="DN44" s="288" t="s">
        <v>429</v>
      </c>
      <c r="DO44" s="287">
        <v>22536269235</v>
      </c>
      <c r="DP44" s="287">
        <v>0</v>
      </c>
      <c r="DQ44" s="287">
        <v>0</v>
      </c>
      <c r="DR44" s="287">
        <f t="shared" si="31"/>
        <v>22536269.234999999</v>
      </c>
      <c r="DS44" s="287">
        <f t="shared" si="32"/>
        <v>0</v>
      </c>
      <c r="DT44" s="287">
        <f t="shared" si="33"/>
        <v>0</v>
      </c>
      <c r="EE44" s="286" t="s">
        <v>804</v>
      </c>
      <c r="EF44" s="288" t="s">
        <v>805</v>
      </c>
      <c r="EG44" s="288" t="s">
        <v>429</v>
      </c>
      <c r="EH44" s="288" t="s">
        <v>429</v>
      </c>
      <c r="EI44" s="287">
        <v>27542893768</v>
      </c>
      <c r="EJ44" s="287">
        <v>0</v>
      </c>
      <c r="EK44" s="287">
        <v>0</v>
      </c>
      <c r="EL44" s="358">
        <f t="shared" si="35"/>
        <v>27542893.767999999</v>
      </c>
      <c r="EM44" s="358">
        <f t="shared" si="36"/>
        <v>0</v>
      </c>
      <c r="EN44" s="358">
        <f t="shared" si="37"/>
        <v>0</v>
      </c>
      <c r="EV44" s="357"/>
      <c r="EY44" s="286" t="s">
        <v>804</v>
      </c>
      <c r="EZ44" s="288" t="s">
        <v>805</v>
      </c>
      <c r="FA44" s="288" t="s">
        <v>429</v>
      </c>
      <c r="FB44" s="288" t="s">
        <v>429</v>
      </c>
      <c r="FC44" s="287">
        <v>35161532268</v>
      </c>
      <c r="FD44" s="287">
        <v>0</v>
      </c>
      <c r="FE44" s="287">
        <v>0</v>
      </c>
      <c r="FF44" s="357">
        <f t="shared" si="39"/>
        <v>35161532.267999999</v>
      </c>
      <c r="FG44" s="357">
        <f t="shared" si="40"/>
        <v>0</v>
      </c>
      <c r="FH44" s="357">
        <f t="shared" si="41"/>
        <v>0</v>
      </c>
      <c r="FR44" s="364" t="s">
        <v>804</v>
      </c>
      <c r="FS44" s="280" t="s">
        <v>805</v>
      </c>
      <c r="FT44" s="280" t="s">
        <v>429</v>
      </c>
      <c r="FU44" s="280" t="s">
        <v>429</v>
      </c>
      <c r="FV44" s="357">
        <v>35161532268</v>
      </c>
      <c r="FW44" s="357">
        <v>0</v>
      </c>
      <c r="FX44" s="357">
        <v>0</v>
      </c>
      <c r="FY44" s="306">
        <f t="shared" si="43"/>
        <v>35161532.267999999</v>
      </c>
      <c r="FZ44" s="306">
        <f t="shared" si="44"/>
        <v>0</v>
      </c>
      <c r="GA44" s="306">
        <f t="shared" si="45"/>
        <v>0</v>
      </c>
      <c r="GK44" s="280" t="s">
        <v>802</v>
      </c>
      <c r="GL44" s="280" t="s">
        <v>803</v>
      </c>
      <c r="GM44" s="280" t="s">
        <v>429</v>
      </c>
      <c r="GN44" s="280" t="s">
        <v>429</v>
      </c>
      <c r="GO44" s="357">
        <v>0</v>
      </c>
      <c r="GP44" s="357">
        <v>7274314617</v>
      </c>
      <c r="GQ44" s="357">
        <v>6295764593</v>
      </c>
      <c r="GR44" s="357">
        <f t="shared" si="47"/>
        <v>0</v>
      </c>
      <c r="GS44" s="357">
        <f t="shared" si="48"/>
        <v>7274314.6169999996</v>
      </c>
      <c r="GT44" s="357">
        <f t="shared" si="49"/>
        <v>6295764.5930000003</v>
      </c>
      <c r="HC44" s="280" t="s">
        <v>802</v>
      </c>
      <c r="HD44" s="280" t="s">
        <v>803</v>
      </c>
      <c r="HE44" s="280" t="s">
        <v>429</v>
      </c>
      <c r="HF44" s="280" t="s">
        <v>429</v>
      </c>
      <c r="HG44" s="305">
        <v>0</v>
      </c>
      <c r="HH44" s="305">
        <v>9619759034</v>
      </c>
      <c r="HI44" s="305">
        <v>9619759034</v>
      </c>
      <c r="HJ44" s="305">
        <f t="shared" si="51"/>
        <v>0</v>
      </c>
      <c r="HK44" s="305">
        <f t="shared" si="52"/>
        <v>9619759.034</v>
      </c>
      <c r="HL44" s="305">
        <f t="shared" si="53"/>
        <v>9619759.034</v>
      </c>
    </row>
    <row r="45" spans="1:220" ht="15" customHeight="1" x14ac:dyDescent="0.2">
      <c r="AM45" s="288" t="s">
        <v>434</v>
      </c>
      <c r="AN45" s="288" t="s">
        <v>127</v>
      </c>
      <c r="AO45" s="288" t="s">
        <v>429</v>
      </c>
      <c r="AP45" s="288" t="s">
        <v>429</v>
      </c>
      <c r="AQ45" s="288" t="s">
        <v>516</v>
      </c>
      <c r="AR45" s="398">
        <v>10100</v>
      </c>
      <c r="AS45" s="398">
        <v>0</v>
      </c>
      <c r="AT45" s="398">
        <v>0</v>
      </c>
      <c r="AU45" s="398">
        <f t="shared" si="15"/>
        <v>10.1</v>
      </c>
      <c r="AV45" s="398">
        <f t="shared" si="16"/>
        <v>0</v>
      </c>
      <c r="AW45" s="398">
        <f t="shared" si="17"/>
        <v>0</v>
      </c>
      <c r="BF45" s="286" t="s">
        <v>433</v>
      </c>
      <c r="BG45" s="399" t="s">
        <v>449</v>
      </c>
      <c r="BH45" s="286" t="s">
        <v>429</v>
      </c>
      <c r="BI45" s="288" t="s">
        <v>429</v>
      </c>
      <c r="BJ45" s="287">
        <v>8937547000</v>
      </c>
      <c r="BK45" s="287">
        <v>0</v>
      </c>
      <c r="BL45" s="287">
        <v>0</v>
      </c>
      <c r="BM45" s="366">
        <f t="shared" si="19"/>
        <v>8937547</v>
      </c>
      <c r="BN45" s="366">
        <f t="shared" si="20"/>
        <v>0</v>
      </c>
      <c r="BO45" s="366">
        <f t="shared" si="21"/>
        <v>0</v>
      </c>
      <c r="BY45" s="286" t="s">
        <v>806</v>
      </c>
      <c r="BZ45" s="286" t="s">
        <v>807</v>
      </c>
      <c r="CA45" s="286" t="s">
        <v>429</v>
      </c>
      <c r="CB45" s="286" t="s">
        <v>429</v>
      </c>
      <c r="CC45" s="288" t="s">
        <v>516</v>
      </c>
      <c r="CD45" s="287">
        <v>0</v>
      </c>
      <c r="CE45" s="287">
        <v>1264918674</v>
      </c>
      <c r="CF45" s="287">
        <v>0</v>
      </c>
      <c r="CG45" s="287">
        <f t="shared" si="23"/>
        <v>0</v>
      </c>
      <c r="CH45" s="287">
        <f t="shared" si="24"/>
        <v>1264918.6740000001</v>
      </c>
      <c r="CI45" s="287">
        <f t="shared" si="25"/>
        <v>0</v>
      </c>
      <c r="CR45" s="288" t="s">
        <v>804</v>
      </c>
      <c r="CS45" s="288" t="s">
        <v>805</v>
      </c>
      <c r="CT45" s="288" t="s">
        <v>429</v>
      </c>
      <c r="CU45" s="288" t="s">
        <v>429</v>
      </c>
      <c r="CV45" s="287">
        <v>0</v>
      </c>
      <c r="CW45" s="287">
        <v>7796142909</v>
      </c>
      <c r="CX45" s="287">
        <v>6845257905</v>
      </c>
      <c r="CY45" s="287">
        <f t="shared" si="27"/>
        <v>0</v>
      </c>
      <c r="CZ45" s="287">
        <f t="shared" si="28"/>
        <v>7796142.909</v>
      </c>
      <c r="DA45" s="287">
        <f t="shared" si="29"/>
        <v>6845257.9050000003</v>
      </c>
      <c r="DK45" s="286" t="s">
        <v>804</v>
      </c>
      <c r="DL45" s="288" t="s">
        <v>805</v>
      </c>
      <c r="DM45" s="286" t="s">
        <v>429</v>
      </c>
      <c r="DN45" s="288" t="s">
        <v>429</v>
      </c>
      <c r="DO45" s="287">
        <v>0</v>
      </c>
      <c r="DP45" s="287">
        <v>9495709804</v>
      </c>
      <c r="DQ45" s="287">
        <v>8772081193</v>
      </c>
      <c r="DR45" s="287">
        <f t="shared" si="31"/>
        <v>0</v>
      </c>
      <c r="DS45" s="287">
        <f t="shared" si="32"/>
        <v>9495709.8039999995</v>
      </c>
      <c r="DT45" s="287">
        <f t="shared" si="33"/>
        <v>8772081.193</v>
      </c>
      <c r="EE45" s="286" t="s">
        <v>804</v>
      </c>
      <c r="EF45" s="288" t="s">
        <v>805</v>
      </c>
      <c r="EG45" s="288" t="s">
        <v>429</v>
      </c>
      <c r="EH45" s="288" t="s">
        <v>429</v>
      </c>
      <c r="EI45" s="287">
        <v>0</v>
      </c>
      <c r="EJ45" s="287">
        <v>14106471037</v>
      </c>
      <c r="EK45" s="287">
        <v>12447285304</v>
      </c>
      <c r="EL45" s="358">
        <f t="shared" si="35"/>
        <v>0</v>
      </c>
      <c r="EM45" s="358">
        <f t="shared" si="36"/>
        <v>14106471.037</v>
      </c>
      <c r="EN45" s="358">
        <f t="shared" si="37"/>
        <v>12447285.304</v>
      </c>
      <c r="EV45" s="357"/>
      <c r="EY45" s="286" t="s">
        <v>804</v>
      </c>
      <c r="EZ45" s="288" t="s">
        <v>805</v>
      </c>
      <c r="FA45" s="288" t="s">
        <v>429</v>
      </c>
      <c r="FB45" s="288" t="s">
        <v>429</v>
      </c>
      <c r="FC45" s="287">
        <v>0</v>
      </c>
      <c r="FD45" s="287">
        <v>15246286077</v>
      </c>
      <c r="FE45" s="287">
        <v>17302730093</v>
      </c>
      <c r="FF45" s="357">
        <f t="shared" si="39"/>
        <v>0</v>
      </c>
      <c r="FG45" s="357">
        <f t="shared" si="40"/>
        <v>15246286.077</v>
      </c>
      <c r="FH45" s="357">
        <f t="shared" si="41"/>
        <v>17302730.092999998</v>
      </c>
      <c r="FR45" s="364" t="s">
        <v>804</v>
      </c>
      <c r="FS45" s="280" t="s">
        <v>805</v>
      </c>
      <c r="FT45" s="280" t="s">
        <v>429</v>
      </c>
      <c r="FU45" s="280" t="s">
        <v>429</v>
      </c>
      <c r="FV45" s="357">
        <v>0</v>
      </c>
      <c r="FW45" s="357">
        <v>21420560609</v>
      </c>
      <c r="FX45" s="357">
        <v>17958356920</v>
      </c>
      <c r="FY45" s="306">
        <f t="shared" si="43"/>
        <v>0</v>
      </c>
      <c r="FZ45" s="306">
        <f t="shared" si="44"/>
        <v>21420560.609000001</v>
      </c>
      <c r="GA45" s="306">
        <f t="shared" si="45"/>
        <v>17958356.920000002</v>
      </c>
      <c r="GK45" s="280" t="s">
        <v>804</v>
      </c>
      <c r="GL45" s="280" t="s">
        <v>805</v>
      </c>
      <c r="GM45" s="280" t="s">
        <v>429</v>
      </c>
      <c r="GN45" s="280" t="s">
        <v>429</v>
      </c>
      <c r="GO45" s="357">
        <v>39652071728</v>
      </c>
      <c r="GP45" s="357">
        <v>0</v>
      </c>
      <c r="GQ45" s="357">
        <v>0</v>
      </c>
      <c r="GR45" s="357">
        <f t="shared" si="47"/>
        <v>39652071.728</v>
      </c>
      <c r="GS45" s="357">
        <f t="shared" si="48"/>
        <v>0</v>
      </c>
      <c r="GT45" s="357">
        <f t="shared" si="49"/>
        <v>0</v>
      </c>
      <c r="HC45" s="280" t="s">
        <v>804</v>
      </c>
      <c r="HD45" s="280" t="s">
        <v>805</v>
      </c>
      <c r="HE45" s="280" t="s">
        <v>429</v>
      </c>
      <c r="HF45" s="280" t="s">
        <v>429</v>
      </c>
      <c r="HG45" s="305">
        <v>40837891484</v>
      </c>
      <c r="HH45" s="305">
        <v>0</v>
      </c>
      <c r="HI45" s="305">
        <v>0</v>
      </c>
      <c r="HJ45" s="305">
        <f t="shared" si="51"/>
        <v>40837891.483999997</v>
      </c>
      <c r="HK45" s="305">
        <f t="shared" si="52"/>
        <v>0</v>
      </c>
      <c r="HL45" s="305">
        <f t="shared" si="53"/>
        <v>0</v>
      </c>
    </row>
    <row r="46" spans="1:220" ht="15" customHeight="1" x14ac:dyDescent="0.2">
      <c r="AM46" s="288" t="s">
        <v>434</v>
      </c>
      <c r="AN46" s="288" t="s">
        <v>127</v>
      </c>
      <c r="AO46" s="288" t="s">
        <v>429</v>
      </c>
      <c r="AP46" s="288" t="s">
        <v>429</v>
      </c>
      <c r="AQ46" s="288" t="s">
        <v>516</v>
      </c>
      <c r="AR46" s="398">
        <v>0</v>
      </c>
      <c r="AS46" s="398">
        <v>15276251603</v>
      </c>
      <c r="AT46" s="398">
        <v>15276251603</v>
      </c>
      <c r="AU46" s="398">
        <f t="shared" si="15"/>
        <v>0</v>
      </c>
      <c r="AV46" s="398">
        <f t="shared" si="16"/>
        <v>15276251.603</v>
      </c>
      <c r="AW46" s="398">
        <f t="shared" si="17"/>
        <v>15276251.603</v>
      </c>
      <c r="BF46" s="286" t="s">
        <v>433</v>
      </c>
      <c r="BG46" s="399" t="s">
        <v>449</v>
      </c>
      <c r="BH46" s="286" t="s">
        <v>429</v>
      </c>
      <c r="BI46" s="288" t="s">
        <v>429</v>
      </c>
      <c r="BJ46" s="287">
        <v>0</v>
      </c>
      <c r="BK46" s="287">
        <v>1974031309</v>
      </c>
      <c r="BL46" s="287">
        <v>1635103138</v>
      </c>
      <c r="BM46" s="366">
        <f t="shared" si="19"/>
        <v>0</v>
      </c>
      <c r="BN46" s="366">
        <f t="shared" si="20"/>
        <v>1974031.3089999999</v>
      </c>
      <c r="BO46" s="366">
        <f t="shared" si="21"/>
        <v>1635103.138</v>
      </c>
      <c r="BY46" s="286" t="s">
        <v>430</v>
      </c>
      <c r="BZ46" s="286" t="s">
        <v>448</v>
      </c>
      <c r="CA46" s="286" t="s">
        <v>429</v>
      </c>
      <c r="CB46" s="286" t="s">
        <v>429</v>
      </c>
      <c r="CC46" s="288" t="s">
        <v>516</v>
      </c>
      <c r="CD46" s="287">
        <v>17089021000</v>
      </c>
      <c r="CE46" s="287">
        <v>0</v>
      </c>
      <c r="CF46" s="287">
        <v>0</v>
      </c>
      <c r="CG46" s="287">
        <f t="shared" si="23"/>
        <v>17089021</v>
      </c>
      <c r="CH46" s="287">
        <f t="shared" si="24"/>
        <v>0</v>
      </c>
      <c r="CI46" s="287">
        <f t="shared" si="25"/>
        <v>0</v>
      </c>
      <c r="CR46" s="288" t="s">
        <v>806</v>
      </c>
      <c r="CS46" s="288" t="s">
        <v>807</v>
      </c>
      <c r="CT46" s="288" t="s">
        <v>429</v>
      </c>
      <c r="CU46" s="288" t="s">
        <v>429</v>
      </c>
      <c r="CV46" s="287">
        <v>9719640000</v>
      </c>
      <c r="CW46" s="287">
        <v>0</v>
      </c>
      <c r="CX46" s="287">
        <v>0</v>
      </c>
      <c r="CY46" s="287">
        <f t="shared" si="27"/>
        <v>9719640</v>
      </c>
      <c r="CZ46" s="287">
        <f t="shared" si="28"/>
        <v>0</v>
      </c>
      <c r="DA46" s="287">
        <f t="shared" si="29"/>
        <v>0</v>
      </c>
      <c r="DK46" s="286" t="s">
        <v>806</v>
      </c>
      <c r="DL46" s="288" t="s">
        <v>807</v>
      </c>
      <c r="DM46" s="286" t="s">
        <v>429</v>
      </c>
      <c r="DN46" s="288" t="s">
        <v>429</v>
      </c>
      <c r="DO46" s="287">
        <v>9719640000</v>
      </c>
      <c r="DP46" s="287">
        <v>0</v>
      </c>
      <c r="DQ46" s="287">
        <v>0</v>
      </c>
      <c r="DR46" s="287">
        <f t="shared" si="31"/>
        <v>9719640</v>
      </c>
      <c r="DS46" s="287">
        <f t="shared" si="32"/>
        <v>0</v>
      </c>
      <c r="DT46" s="287">
        <f t="shared" si="33"/>
        <v>0</v>
      </c>
      <c r="EE46" s="286" t="s">
        <v>806</v>
      </c>
      <c r="EF46" s="288" t="s">
        <v>807</v>
      </c>
      <c r="EG46" s="288" t="s">
        <v>429</v>
      </c>
      <c r="EH46" s="288" t="s">
        <v>429</v>
      </c>
      <c r="EI46" s="287">
        <v>9719640000</v>
      </c>
      <c r="EJ46" s="287">
        <v>0</v>
      </c>
      <c r="EK46" s="287">
        <v>0</v>
      </c>
      <c r="EL46" s="358">
        <f t="shared" si="35"/>
        <v>9719640</v>
      </c>
      <c r="EM46" s="358">
        <f t="shared" si="36"/>
        <v>0</v>
      </c>
      <c r="EN46" s="358">
        <f t="shared" si="37"/>
        <v>0</v>
      </c>
      <c r="EV46" s="357"/>
      <c r="EY46" s="286" t="s">
        <v>806</v>
      </c>
      <c r="EZ46" s="288" t="s">
        <v>807</v>
      </c>
      <c r="FA46" s="288" t="s">
        <v>429</v>
      </c>
      <c r="FB46" s="288" t="s">
        <v>429</v>
      </c>
      <c r="FC46" s="287">
        <v>9719640000</v>
      </c>
      <c r="FD46" s="287">
        <v>0</v>
      </c>
      <c r="FE46" s="287">
        <v>0</v>
      </c>
      <c r="FF46" s="357">
        <f t="shared" si="39"/>
        <v>9719640</v>
      </c>
      <c r="FG46" s="357">
        <f t="shared" si="40"/>
        <v>0</v>
      </c>
      <c r="FH46" s="357">
        <f t="shared" si="41"/>
        <v>0</v>
      </c>
      <c r="FR46" s="364" t="s">
        <v>806</v>
      </c>
      <c r="FS46" s="280" t="s">
        <v>807</v>
      </c>
      <c r="FT46" s="280" t="s">
        <v>429</v>
      </c>
      <c r="FU46" s="280" t="s">
        <v>429</v>
      </c>
      <c r="FV46" s="357">
        <v>9719640000</v>
      </c>
      <c r="FW46" s="357">
        <v>0</v>
      </c>
      <c r="FX46" s="357">
        <v>0</v>
      </c>
      <c r="FY46" s="306">
        <f t="shared" si="43"/>
        <v>9719640</v>
      </c>
      <c r="FZ46" s="306">
        <f t="shared" si="44"/>
        <v>0</v>
      </c>
      <c r="GA46" s="306">
        <f t="shared" si="45"/>
        <v>0</v>
      </c>
      <c r="GK46" s="280" t="s">
        <v>804</v>
      </c>
      <c r="GL46" s="280" t="s">
        <v>805</v>
      </c>
      <c r="GM46" s="280" t="s">
        <v>429</v>
      </c>
      <c r="GN46" s="280" t="s">
        <v>429</v>
      </c>
      <c r="GO46" s="357">
        <v>0</v>
      </c>
      <c r="GP46" s="357">
        <v>21822256824</v>
      </c>
      <c r="GQ46" s="357">
        <v>20086115845</v>
      </c>
      <c r="GR46" s="357">
        <f t="shared" si="47"/>
        <v>0</v>
      </c>
      <c r="GS46" s="357">
        <f t="shared" si="48"/>
        <v>21822256.824000001</v>
      </c>
      <c r="GT46" s="357">
        <f t="shared" si="49"/>
        <v>20086115.844999999</v>
      </c>
      <c r="HC46" s="280" t="s">
        <v>804</v>
      </c>
      <c r="HD46" s="280" t="s">
        <v>805</v>
      </c>
      <c r="HE46" s="280" t="s">
        <v>429</v>
      </c>
      <c r="HF46" s="280" t="s">
        <v>429</v>
      </c>
      <c r="HG46" s="305">
        <v>0</v>
      </c>
      <c r="HH46" s="305">
        <v>40834962669</v>
      </c>
      <c r="HI46" s="305">
        <v>40834962669</v>
      </c>
      <c r="HJ46" s="305">
        <f t="shared" si="51"/>
        <v>0</v>
      </c>
      <c r="HK46" s="305">
        <f t="shared" si="52"/>
        <v>40834962.669</v>
      </c>
      <c r="HL46" s="305">
        <f t="shared" si="53"/>
        <v>40834962.669</v>
      </c>
    </row>
    <row r="47" spans="1:220" ht="15" customHeight="1" x14ac:dyDescent="0.2">
      <c r="AU47" s="368">
        <f>SUM(AU3:AU46)</f>
        <v>279187175.19999999</v>
      </c>
      <c r="AV47" s="368">
        <f>SUM(AV3:AV46)</f>
        <v>129310599.26000001</v>
      </c>
      <c r="AW47" s="368">
        <f>SUM(AW3:AW46)</f>
        <v>89025338.297999993</v>
      </c>
      <c r="BF47" s="286" t="s">
        <v>847</v>
      </c>
      <c r="BG47" s="399" t="s">
        <v>848</v>
      </c>
      <c r="BH47" s="286" t="s">
        <v>429</v>
      </c>
      <c r="BI47" s="288" t="s">
        <v>429</v>
      </c>
      <c r="BJ47" s="287">
        <v>3933000000</v>
      </c>
      <c r="BK47" s="287">
        <v>0</v>
      </c>
      <c r="BL47" s="287">
        <v>0</v>
      </c>
      <c r="BM47" s="366">
        <f t="shared" si="19"/>
        <v>3933000</v>
      </c>
      <c r="BN47" s="366">
        <f t="shared" si="20"/>
        <v>0</v>
      </c>
      <c r="BO47" s="366">
        <f t="shared" si="21"/>
        <v>0</v>
      </c>
      <c r="BY47" s="286" t="s">
        <v>433</v>
      </c>
      <c r="BZ47" s="286" t="s">
        <v>449</v>
      </c>
      <c r="CA47" s="286" t="s">
        <v>429</v>
      </c>
      <c r="CB47" s="286" t="s">
        <v>429</v>
      </c>
      <c r="CC47" s="288" t="s">
        <v>516</v>
      </c>
      <c r="CD47" s="287">
        <v>8937547000</v>
      </c>
      <c r="CE47" s="287">
        <v>0</v>
      </c>
      <c r="CF47" s="287">
        <v>0</v>
      </c>
      <c r="CG47" s="287">
        <f t="shared" si="23"/>
        <v>8937547</v>
      </c>
      <c r="CH47" s="287">
        <f t="shared" si="24"/>
        <v>0</v>
      </c>
      <c r="CI47" s="287">
        <f t="shared" si="25"/>
        <v>0</v>
      </c>
      <c r="CR47" s="288" t="s">
        <v>806</v>
      </c>
      <c r="CS47" s="288" t="s">
        <v>807</v>
      </c>
      <c r="CT47" s="288" t="s">
        <v>429</v>
      </c>
      <c r="CU47" s="288" t="s">
        <v>429</v>
      </c>
      <c r="CV47" s="287">
        <v>0</v>
      </c>
      <c r="CW47" s="287">
        <v>1264918674</v>
      </c>
      <c r="CX47" s="287">
        <v>0</v>
      </c>
      <c r="CY47" s="287">
        <f t="shared" si="27"/>
        <v>0</v>
      </c>
      <c r="CZ47" s="287">
        <f t="shared" si="28"/>
        <v>1264918.6740000001</v>
      </c>
      <c r="DA47" s="287">
        <f t="shared" si="29"/>
        <v>0</v>
      </c>
      <c r="DK47" s="286" t="s">
        <v>806</v>
      </c>
      <c r="DL47" s="288" t="s">
        <v>807</v>
      </c>
      <c r="DM47" s="286" t="s">
        <v>429</v>
      </c>
      <c r="DN47" s="288" t="s">
        <v>429</v>
      </c>
      <c r="DO47" s="287">
        <v>0</v>
      </c>
      <c r="DP47" s="287">
        <v>1264918674</v>
      </c>
      <c r="DQ47" s="287">
        <v>42488206</v>
      </c>
      <c r="DR47" s="287">
        <f t="shared" si="31"/>
        <v>0</v>
      </c>
      <c r="DS47" s="287">
        <f t="shared" si="32"/>
        <v>1264918.6740000001</v>
      </c>
      <c r="DT47" s="287">
        <f t="shared" si="33"/>
        <v>42488.205999999998</v>
      </c>
      <c r="EE47" s="286" t="s">
        <v>806</v>
      </c>
      <c r="EF47" s="288" t="s">
        <v>807</v>
      </c>
      <c r="EG47" s="288" t="s">
        <v>429</v>
      </c>
      <c r="EH47" s="288" t="s">
        <v>429</v>
      </c>
      <c r="EI47" s="287">
        <v>0</v>
      </c>
      <c r="EJ47" s="287">
        <v>1264918674</v>
      </c>
      <c r="EK47" s="287">
        <v>42488206</v>
      </c>
      <c r="EL47" s="358">
        <f t="shared" si="35"/>
        <v>0</v>
      </c>
      <c r="EM47" s="358">
        <f t="shared" si="36"/>
        <v>1264918.6740000001</v>
      </c>
      <c r="EN47" s="358">
        <f t="shared" si="37"/>
        <v>42488.205999999998</v>
      </c>
      <c r="EV47" s="357"/>
      <c r="EY47" s="286" t="s">
        <v>806</v>
      </c>
      <c r="EZ47" s="288" t="s">
        <v>807</v>
      </c>
      <c r="FA47" s="288" t="s">
        <v>429</v>
      </c>
      <c r="FB47" s="288" t="s">
        <v>429</v>
      </c>
      <c r="FC47" s="287">
        <v>0</v>
      </c>
      <c r="FD47" s="287">
        <v>42488206</v>
      </c>
      <c r="FE47" s="287">
        <v>1264918674</v>
      </c>
      <c r="FF47" s="357">
        <f t="shared" si="39"/>
        <v>0</v>
      </c>
      <c r="FG47" s="357">
        <f t="shared" si="40"/>
        <v>42488.205999999998</v>
      </c>
      <c r="FH47" s="357">
        <f t="shared" si="41"/>
        <v>1264918.6740000001</v>
      </c>
      <c r="FR47" s="364" t="s">
        <v>806</v>
      </c>
      <c r="FS47" s="280" t="s">
        <v>807</v>
      </c>
      <c r="FT47" s="280" t="s">
        <v>429</v>
      </c>
      <c r="FU47" s="280" t="s">
        <v>429</v>
      </c>
      <c r="FV47" s="357">
        <v>0</v>
      </c>
      <c r="FW47" s="357">
        <v>790942157</v>
      </c>
      <c r="FX47" s="357">
        <v>490942157</v>
      </c>
      <c r="FY47" s="306">
        <f t="shared" si="43"/>
        <v>0</v>
      </c>
      <c r="FZ47" s="306">
        <f t="shared" si="44"/>
        <v>790942.15700000001</v>
      </c>
      <c r="GA47" s="306">
        <f t="shared" si="45"/>
        <v>490942.15700000001</v>
      </c>
      <c r="GK47" s="280" t="s">
        <v>806</v>
      </c>
      <c r="GL47" s="280" t="s">
        <v>807</v>
      </c>
      <c r="GM47" s="280" t="s">
        <v>429</v>
      </c>
      <c r="GN47" s="280" t="s">
        <v>429</v>
      </c>
      <c r="GO47" s="357">
        <v>9719640000</v>
      </c>
      <c r="GP47" s="357">
        <v>0</v>
      </c>
      <c r="GQ47" s="357">
        <v>0</v>
      </c>
      <c r="GR47" s="357">
        <f t="shared" si="47"/>
        <v>9719640</v>
      </c>
      <c r="GS47" s="357">
        <f t="shared" si="48"/>
        <v>0</v>
      </c>
      <c r="GT47" s="357">
        <f t="shared" si="49"/>
        <v>0</v>
      </c>
      <c r="HC47" s="280" t="s">
        <v>806</v>
      </c>
      <c r="HD47" s="280" t="s">
        <v>807</v>
      </c>
      <c r="HE47" s="280" t="s">
        <v>429</v>
      </c>
      <c r="HF47" s="280" t="s">
        <v>429</v>
      </c>
      <c r="HG47" s="305">
        <v>9719640000</v>
      </c>
      <c r="HH47" s="305">
        <v>0</v>
      </c>
      <c r="HI47" s="305">
        <v>0</v>
      </c>
      <c r="HJ47" s="305">
        <f t="shared" si="51"/>
        <v>9719640</v>
      </c>
      <c r="HK47" s="305">
        <f t="shared" si="52"/>
        <v>0</v>
      </c>
      <c r="HL47" s="305">
        <f t="shared" si="53"/>
        <v>0</v>
      </c>
    </row>
    <row r="48" spans="1:220" ht="15" customHeight="1" x14ac:dyDescent="0.2">
      <c r="BF48" s="286" t="s">
        <v>434</v>
      </c>
      <c r="BG48" s="399" t="s">
        <v>127</v>
      </c>
      <c r="BH48" s="286" t="s">
        <v>429</v>
      </c>
      <c r="BI48" s="288" t="s">
        <v>429</v>
      </c>
      <c r="BJ48" s="287">
        <f>10100</f>
        <v>10100</v>
      </c>
      <c r="BK48" s="287">
        <v>0</v>
      </c>
      <c r="BL48" s="287">
        <v>0</v>
      </c>
      <c r="BM48" s="366">
        <f>+BJ48/$BM$1*$BN$1+BM49-10</f>
        <v>15276252.199999999</v>
      </c>
      <c r="BN48" s="366">
        <f t="shared" si="20"/>
        <v>0</v>
      </c>
      <c r="BO48" s="366">
        <f t="shared" si="21"/>
        <v>0</v>
      </c>
      <c r="BY48" s="286" t="s">
        <v>433</v>
      </c>
      <c r="BZ48" s="286" t="s">
        <v>449</v>
      </c>
      <c r="CA48" s="286" t="s">
        <v>429</v>
      </c>
      <c r="CB48" s="286" t="s">
        <v>429</v>
      </c>
      <c r="CC48" s="288" t="s">
        <v>516</v>
      </c>
      <c r="CD48" s="287">
        <v>0</v>
      </c>
      <c r="CE48" s="287">
        <v>2951093101</v>
      </c>
      <c r="CF48" s="287">
        <v>2951093101</v>
      </c>
      <c r="CG48" s="287">
        <f t="shared" si="23"/>
        <v>0</v>
      </c>
      <c r="CH48" s="287">
        <f t="shared" si="24"/>
        <v>2951093.1009999998</v>
      </c>
      <c r="CI48" s="287">
        <f t="shared" si="25"/>
        <v>2951093.1009999998</v>
      </c>
      <c r="CR48" s="288" t="s">
        <v>430</v>
      </c>
      <c r="CS48" s="288" t="s">
        <v>448</v>
      </c>
      <c r="CT48" s="288" t="s">
        <v>429</v>
      </c>
      <c r="CU48" s="288" t="s">
        <v>429</v>
      </c>
      <c r="CV48" s="287">
        <v>17089021000</v>
      </c>
      <c r="CW48" s="287">
        <v>0</v>
      </c>
      <c r="CX48" s="287">
        <v>0</v>
      </c>
      <c r="CY48" s="287">
        <f t="shared" si="27"/>
        <v>17089021</v>
      </c>
      <c r="CZ48" s="287">
        <f t="shared" si="28"/>
        <v>0</v>
      </c>
      <c r="DA48" s="287">
        <f t="shared" si="29"/>
        <v>0</v>
      </c>
      <c r="DK48" s="286" t="s">
        <v>430</v>
      </c>
      <c r="DL48" s="288" t="s">
        <v>448</v>
      </c>
      <c r="DM48" s="286" t="s">
        <v>429</v>
      </c>
      <c r="DN48" s="288" t="s">
        <v>429</v>
      </c>
      <c r="DO48" s="287">
        <v>17089021000</v>
      </c>
      <c r="DP48" s="287">
        <v>0</v>
      </c>
      <c r="DQ48" s="287">
        <v>0</v>
      </c>
      <c r="DR48" s="287">
        <f t="shared" si="31"/>
        <v>17089021</v>
      </c>
      <c r="DS48" s="287">
        <f t="shared" si="32"/>
        <v>0</v>
      </c>
      <c r="DT48" s="287">
        <f t="shared" si="33"/>
        <v>0</v>
      </c>
      <c r="EE48" s="286" t="s">
        <v>430</v>
      </c>
      <c r="EF48" s="288" t="s">
        <v>448</v>
      </c>
      <c r="EG48" s="288" t="s">
        <v>429</v>
      </c>
      <c r="EH48" s="288" t="s">
        <v>429</v>
      </c>
      <c r="EI48" s="287">
        <v>17089021000</v>
      </c>
      <c r="EJ48" s="287">
        <v>0</v>
      </c>
      <c r="EK48" s="287">
        <v>0</v>
      </c>
      <c r="EL48" s="358">
        <f t="shared" si="35"/>
        <v>17089021</v>
      </c>
      <c r="EM48" s="358">
        <f t="shared" si="36"/>
        <v>0</v>
      </c>
      <c r="EN48" s="358">
        <f t="shared" si="37"/>
        <v>0</v>
      </c>
      <c r="EV48" s="357"/>
      <c r="EY48" s="286" t="s">
        <v>430</v>
      </c>
      <c r="EZ48" s="288" t="s">
        <v>448</v>
      </c>
      <c r="FA48" s="288" t="s">
        <v>429</v>
      </c>
      <c r="FB48" s="288" t="s">
        <v>429</v>
      </c>
      <c r="FC48" s="287">
        <v>17089021000</v>
      </c>
      <c r="FD48" s="287">
        <v>0</v>
      </c>
      <c r="FE48" s="287">
        <v>0</v>
      </c>
      <c r="FF48" s="357">
        <f t="shared" si="39"/>
        <v>17089021</v>
      </c>
      <c r="FG48" s="357">
        <f t="shared" si="40"/>
        <v>0</v>
      </c>
      <c r="FH48" s="357">
        <f t="shared" si="41"/>
        <v>0</v>
      </c>
      <c r="FR48" s="364" t="s">
        <v>430</v>
      </c>
      <c r="FS48" s="280" t="s">
        <v>448</v>
      </c>
      <c r="FT48" s="280" t="s">
        <v>429</v>
      </c>
      <c r="FU48" s="280" t="s">
        <v>429</v>
      </c>
      <c r="FV48" s="357">
        <v>17089021000</v>
      </c>
      <c r="FW48" s="357">
        <v>0</v>
      </c>
      <c r="FX48" s="357">
        <v>0</v>
      </c>
      <c r="FY48" s="306">
        <f t="shared" si="43"/>
        <v>17089021</v>
      </c>
      <c r="FZ48" s="306">
        <f t="shared" si="44"/>
        <v>0</v>
      </c>
      <c r="GA48" s="306">
        <f t="shared" si="45"/>
        <v>0</v>
      </c>
      <c r="GK48" s="280" t="s">
        <v>806</v>
      </c>
      <c r="GL48" s="280" t="s">
        <v>807</v>
      </c>
      <c r="GM48" s="280" t="s">
        <v>429</v>
      </c>
      <c r="GN48" s="280" t="s">
        <v>429</v>
      </c>
      <c r="GO48" s="357">
        <v>0</v>
      </c>
      <c r="GP48" s="357">
        <v>5958904157</v>
      </c>
      <c r="GQ48" s="357">
        <v>5958904157</v>
      </c>
      <c r="GR48" s="357">
        <f t="shared" si="47"/>
        <v>0</v>
      </c>
      <c r="GS48" s="357">
        <f t="shared" si="48"/>
        <v>5958904.1569999997</v>
      </c>
      <c r="GT48" s="357">
        <f t="shared" si="49"/>
        <v>5958904.1569999997</v>
      </c>
      <c r="HC48" s="280" t="s">
        <v>806</v>
      </c>
      <c r="HD48" s="280" t="s">
        <v>807</v>
      </c>
      <c r="HE48" s="280" t="s">
        <v>429</v>
      </c>
      <c r="HF48" s="280" t="s">
        <v>429</v>
      </c>
      <c r="HG48" s="305">
        <v>0</v>
      </c>
      <c r="HH48" s="305">
        <v>9719640000</v>
      </c>
      <c r="HI48" s="305">
        <v>9719640000</v>
      </c>
      <c r="HJ48" s="305">
        <f t="shared" si="51"/>
        <v>0</v>
      </c>
      <c r="HK48" s="305">
        <f t="shared" si="52"/>
        <v>9719640</v>
      </c>
      <c r="HL48" s="305">
        <f t="shared" si="53"/>
        <v>9719640</v>
      </c>
    </row>
    <row r="49" spans="58:220" ht="15" customHeight="1" x14ac:dyDescent="0.2">
      <c r="BF49" s="286" t="s">
        <v>434</v>
      </c>
      <c r="BG49" s="399" t="s">
        <v>127</v>
      </c>
      <c r="BH49" s="286" t="s">
        <v>429</v>
      </c>
      <c r="BI49" s="288" t="s">
        <v>429</v>
      </c>
      <c r="BJ49" s="287">
        <f>+BJ48+15276242000</f>
        <v>15276252100</v>
      </c>
      <c r="BK49" s="287">
        <v>15276251603</v>
      </c>
      <c r="BL49" s="287">
        <v>15276251603</v>
      </c>
      <c r="BM49" s="366">
        <f t="shared" si="19"/>
        <v>15276252.1</v>
      </c>
      <c r="BN49" s="366">
        <f t="shared" si="20"/>
        <v>15276251.603</v>
      </c>
      <c r="BO49" s="366">
        <f t="shared" si="21"/>
        <v>15276251.603</v>
      </c>
      <c r="BY49" s="286" t="s">
        <v>847</v>
      </c>
      <c r="BZ49" s="286" t="s">
        <v>848</v>
      </c>
      <c r="CA49" s="286" t="s">
        <v>429</v>
      </c>
      <c r="CB49" s="286" t="s">
        <v>429</v>
      </c>
      <c r="CC49" s="288" t="s">
        <v>516</v>
      </c>
      <c r="CD49" s="287">
        <v>3933000000</v>
      </c>
      <c r="CE49" s="287">
        <v>0</v>
      </c>
      <c r="CF49" s="287">
        <v>0</v>
      </c>
      <c r="CG49" s="287">
        <f t="shared" si="23"/>
        <v>3933000</v>
      </c>
      <c r="CH49" s="287">
        <f t="shared" si="24"/>
        <v>0</v>
      </c>
      <c r="CI49" s="287">
        <f t="shared" si="25"/>
        <v>0</v>
      </c>
      <c r="CR49" s="288" t="s">
        <v>433</v>
      </c>
      <c r="CS49" s="288" t="s">
        <v>449</v>
      </c>
      <c r="CT49" s="288" t="s">
        <v>429</v>
      </c>
      <c r="CU49" s="288" t="s">
        <v>429</v>
      </c>
      <c r="CV49" s="287">
        <v>8937547000</v>
      </c>
      <c r="CW49" s="287">
        <v>0</v>
      </c>
      <c r="CX49" s="287">
        <v>0</v>
      </c>
      <c r="CY49" s="287">
        <f t="shared" si="27"/>
        <v>8937547</v>
      </c>
      <c r="CZ49" s="287">
        <f t="shared" si="28"/>
        <v>0</v>
      </c>
      <c r="DA49" s="287">
        <f t="shared" si="29"/>
        <v>0</v>
      </c>
      <c r="DK49" s="286" t="s">
        <v>430</v>
      </c>
      <c r="DL49" s="288" t="s">
        <v>448</v>
      </c>
      <c r="DM49" s="286" t="s">
        <v>429</v>
      </c>
      <c r="DN49" s="288" t="s">
        <v>429</v>
      </c>
      <c r="DO49" s="287">
        <v>0</v>
      </c>
      <c r="DP49" s="287">
        <v>17089021000</v>
      </c>
      <c r="DQ49" s="287">
        <v>17089021000</v>
      </c>
      <c r="DR49" s="287">
        <f t="shared" si="31"/>
        <v>0</v>
      </c>
      <c r="DS49" s="287">
        <f t="shared" si="32"/>
        <v>17089021</v>
      </c>
      <c r="DT49" s="287">
        <f t="shared" si="33"/>
        <v>17089021</v>
      </c>
      <c r="EE49" s="286" t="s">
        <v>430</v>
      </c>
      <c r="EF49" s="288" t="s">
        <v>448</v>
      </c>
      <c r="EG49" s="288" t="s">
        <v>429</v>
      </c>
      <c r="EH49" s="288" t="s">
        <v>429</v>
      </c>
      <c r="EI49" s="287">
        <v>0</v>
      </c>
      <c r="EJ49" s="287">
        <v>17089021000</v>
      </c>
      <c r="EK49" s="287">
        <v>17089021000</v>
      </c>
      <c r="EL49" s="358">
        <f t="shared" si="35"/>
        <v>0</v>
      </c>
      <c r="EM49" s="358">
        <f t="shared" si="36"/>
        <v>17089021</v>
      </c>
      <c r="EN49" s="358">
        <f t="shared" si="37"/>
        <v>17089021</v>
      </c>
      <c r="EV49" s="357"/>
      <c r="EY49" s="286" t="s">
        <v>430</v>
      </c>
      <c r="EZ49" s="288" t="s">
        <v>448</v>
      </c>
      <c r="FA49" s="288" t="s">
        <v>429</v>
      </c>
      <c r="FB49" s="288" t="s">
        <v>429</v>
      </c>
      <c r="FC49" s="287">
        <v>0</v>
      </c>
      <c r="FD49" s="287">
        <v>17089021000</v>
      </c>
      <c r="FE49" s="287">
        <v>17089021000</v>
      </c>
      <c r="FF49" s="357">
        <f t="shared" si="39"/>
        <v>0</v>
      </c>
      <c r="FG49" s="357">
        <f t="shared" si="40"/>
        <v>17089021</v>
      </c>
      <c r="FH49" s="357">
        <f t="shared" si="41"/>
        <v>17089021</v>
      </c>
      <c r="FR49" s="364" t="s">
        <v>430</v>
      </c>
      <c r="FS49" s="280" t="s">
        <v>448</v>
      </c>
      <c r="FT49" s="280" t="s">
        <v>429</v>
      </c>
      <c r="FU49" s="280" t="s">
        <v>429</v>
      </c>
      <c r="FV49" s="357">
        <v>0</v>
      </c>
      <c r="FW49" s="357">
        <v>17089021000</v>
      </c>
      <c r="FX49" s="357">
        <v>17089021000</v>
      </c>
      <c r="FY49" s="306">
        <f t="shared" si="43"/>
        <v>0</v>
      </c>
      <c r="FZ49" s="306">
        <f t="shared" si="44"/>
        <v>17089021</v>
      </c>
      <c r="GA49" s="306">
        <f t="shared" si="45"/>
        <v>17089021</v>
      </c>
      <c r="GK49" s="280" t="s">
        <v>430</v>
      </c>
      <c r="GL49" s="280" t="s">
        <v>448</v>
      </c>
      <c r="GM49" s="280" t="s">
        <v>429</v>
      </c>
      <c r="GN49" s="280" t="s">
        <v>429</v>
      </c>
      <c r="GO49" s="357">
        <v>17089021000</v>
      </c>
      <c r="GP49" s="357">
        <v>0</v>
      </c>
      <c r="GQ49" s="357">
        <v>0</v>
      </c>
      <c r="GR49" s="357">
        <f t="shared" si="47"/>
        <v>17089021</v>
      </c>
      <c r="GS49" s="357">
        <f t="shared" si="48"/>
        <v>0</v>
      </c>
      <c r="GT49" s="357">
        <f t="shared" si="49"/>
        <v>0</v>
      </c>
      <c r="HC49" s="280" t="s">
        <v>430</v>
      </c>
      <c r="HD49" s="280" t="s">
        <v>448</v>
      </c>
      <c r="HE49" s="280" t="s">
        <v>429</v>
      </c>
      <c r="HF49" s="280" t="s">
        <v>429</v>
      </c>
      <c r="HG49" s="305">
        <v>17089021000</v>
      </c>
      <c r="HH49" s="305">
        <v>0</v>
      </c>
      <c r="HI49" s="305">
        <v>0</v>
      </c>
      <c r="HJ49" s="305">
        <f t="shared" si="51"/>
        <v>17089021</v>
      </c>
      <c r="HK49" s="305">
        <f t="shared" si="52"/>
        <v>0</v>
      </c>
      <c r="HL49" s="305">
        <f t="shared" si="53"/>
        <v>0</v>
      </c>
    </row>
    <row r="50" spans="58:220" ht="15" customHeight="1" x14ac:dyDescent="0.2">
      <c r="BY50" s="286" t="s">
        <v>434</v>
      </c>
      <c r="BZ50" s="286" t="s">
        <v>127</v>
      </c>
      <c r="CA50" s="286" t="s">
        <v>429</v>
      </c>
      <c r="CB50" s="286" t="s">
        <v>429</v>
      </c>
      <c r="CC50" s="288" t="s">
        <v>516</v>
      </c>
      <c r="CD50" s="287">
        <v>15276252100</v>
      </c>
      <c r="CE50" s="287">
        <v>0</v>
      </c>
      <c r="CF50" s="287">
        <v>0</v>
      </c>
      <c r="CG50" s="287">
        <f t="shared" si="23"/>
        <v>15276252.1</v>
      </c>
      <c r="CH50" s="287">
        <f t="shared" si="24"/>
        <v>0</v>
      </c>
      <c r="CI50" s="287">
        <f t="shared" si="25"/>
        <v>0</v>
      </c>
      <c r="CR50" s="288" t="s">
        <v>433</v>
      </c>
      <c r="CS50" s="288" t="s">
        <v>449</v>
      </c>
      <c r="CT50" s="288" t="s">
        <v>429</v>
      </c>
      <c r="CU50" s="288" t="s">
        <v>429</v>
      </c>
      <c r="CV50" s="287">
        <v>0</v>
      </c>
      <c r="CW50" s="287">
        <v>4644854321</v>
      </c>
      <c r="CX50" s="287">
        <v>4644854321</v>
      </c>
      <c r="CY50" s="287">
        <f t="shared" si="27"/>
        <v>0</v>
      </c>
      <c r="CZ50" s="287">
        <f t="shared" si="28"/>
        <v>4644854.3210000005</v>
      </c>
      <c r="DA50" s="287">
        <f t="shared" si="29"/>
        <v>4644854.3210000005</v>
      </c>
      <c r="DK50" s="286" t="s">
        <v>433</v>
      </c>
      <c r="DL50" s="288" t="s">
        <v>449</v>
      </c>
      <c r="DM50" s="286" t="s">
        <v>429</v>
      </c>
      <c r="DN50" s="288" t="s">
        <v>429</v>
      </c>
      <c r="DO50" s="287">
        <v>8937547000</v>
      </c>
      <c r="DP50" s="287">
        <v>0</v>
      </c>
      <c r="DQ50" s="287">
        <v>0</v>
      </c>
      <c r="DR50" s="287">
        <f t="shared" si="31"/>
        <v>8937547</v>
      </c>
      <c r="DS50" s="287">
        <f t="shared" si="32"/>
        <v>0</v>
      </c>
      <c r="DT50" s="287">
        <f t="shared" si="33"/>
        <v>0</v>
      </c>
      <c r="EE50" s="286" t="s">
        <v>433</v>
      </c>
      <c r="EF50" s="288" t="s">
        <v>449</v>
      </c>
      <c r="EG50" s="288" t="s">
        <v>429</v>
      </c>
      <c r="EH50" s="288" t="s">
        <v>429</v>
      </c>
      <c r="EI50" s="287">
        <v>8937547000</v>
      </c>
      <c r="EJ50" s="287">
        <v>0</v>
      </c>
      <c r="EK50" s="287">
        <v>0</v>
      </c>
      <c r="EL50" s="358">
        <f t="shared" si="35"/>
        <v>8937547</v>
      </c>
      <c r="EM50" s="358">
        <f t="shared" si="36"/>
        <v>0</v>
      </c>
      <c r="EN50" s="358">
        <f t="shared" si="37"/>
        <v>0</v>
      </c>
      <c r="EV50" s="357"/>
      <c r="EY50" s="286" t="s">
        <v>433</v>
      </c>
      <c r="EZ50" s="288" t="s">
        <v>449</v>
      </c>
      <c r="FA50" s="288" t="s">
        <v>429</v>
      </c>
      <c r="FB50" s="288" t="s">
        <v>429</v>
      </c>
      <c r="FC50" s="287">
        <v>8937547000</v>
      </c>
      <c r="FD50" s="287">
        <v>0</v>
      </c>
      <c r="FE50" s="287">
        <v>0</v>
      </c>
      <c r="FF50" s="357">
        <f t="shared" si="39"/>
        <v>8937547</v>
      </c>
      <c r="FG50" s="357">
        <f t="shared" si="40"/>
        <v>0</v>
      </c>
      <c r="FH50" s="357">
        <f t="shared" si="41"/>
        <v>0</v>
      </c>
      <c r="FR50" s="364" t="s">
        <v>433</v>
      </c>
      <c r="FS50" s="280" t="s">
        <v>449</v>
      </c>
      <c r="FT50" s="280" t="s">
        <v>429</v>
      </c>
      <c r="FU50" s="280" t="s">
        <v>429</v>
      </c>
      <c r="FV50" s="357">
        <v>8937547000</v>
      </c>
      <c r="FW50" s="357">
        <v>0</v>
      </c>
      <c r="FX50" s="357">
        <v>0</v>
      </c>
      <c r="FY50" s="306">
        <f t="shared" si="43"/>
        <v>8937547</v>
      </c>
      <c r="FZ50" s="306">
        <f t="shared" si="44"/>
        <v>0</v>
      </c>
      <c r="GA50" s="306">
        <f t="shared" si="45"/>
        <v>0</v>
      </c>
      <c r="GK50" s="280" t="s">
        <v>430</v>
      </c>
      <c r="GL50" s="280" t="s">
        <v>448</v>
      </c>
      <c r="GM50" s="280" t="s">
        <v>429</v>
      </c>
      <c r="GN50" s="280" t="s">
        <v>429</v>
      </c>
      <c r="GO50" s="357">
        <v>0</v>
      </c>
      <c r="GP50" s="357">
        <v>17089021000</v>
      </c>
      <c r="GQ50" s="357">
        <v>17089021000</v>
      </c>
      <c r="GR50" s="357">
        <f t="shared" si="47"/>
        <v>0</v>
      </c>
      <c r="GS50" s="357">
        <f t="shared" si="48"/>
        <v>17089021</v>
      </c>
      <c r="GT50" s="357">
        <f t="shared" si="49"/>
        <v>17089021</v>
      </c>
      <c r="HC50" s="280" t="s">
        <v>430</v>
      </c>
      <c r="HD50" s="280" t="s">
        <v>448</v>
      </c>
      <c r="HE50" s="280" t="s">
        <v>429</v>
      </c>
      <c r="HF50" s="280" t="s">
        <v>429</v>
      </c>
      <c r="HG50" s="305">
        <v>0</v>
      </c>
      <c r="HH50" s="305">
        <v>17089021000</v>
      </c>
      <c r="HI50" s="305">
        <v>17089021000</v>
      </c>
      <c r="HJ50" s="305">
        <f t="shared" si="51"/>
        <v>0</v>
      </c>
      <c r="HK50" s="305">
        <f t="shared" si="52"/>
        <v>17089021</v>
      </c>
      <c r="HL50" s="305">
        <f t="shared" si="53"/>
        <v>17089021</v>
      </c>
    </row>
    <row r="51" spans="58:220" ht="15" customHeight="1" x14ac:dyDescent="0.2">
      <c r="BY51" s="286" t="s">
        <v>434</v>
      </c>
      <c r="BZ51" s="286" t="s">
        <v>127</v>
      </c>
      <c r="CA51" s="286" t="s">
        <v>429</v>
      </c>
      <c r="CB51" s="286" t="s">
        <v>429</v>
      </c>
      <c r="CC51" s="288" t="s">
        <v>516</v>
      </c>
      <c r="CD51" s="287">
        <v>0</v>
      </c>
      <c r="CE51" s="287">
        <v>15276251603</v>
      </c>
      <c r="CF51" s="287">
        <v>15276251603</v>
      </c>
      <c r="CG51" s="287">
        <f t="shared" si="23"/>
        <v>0</v>
      </c>
      <c r="CH51" s="287">
        <f t="shared" si="24"/>
        <v>15276251.603</v>
      </c>
      <c r="CI51" s="287">
        <f t="shared" si="25"/>
        <v>15276251.603</v>
      </c>
      <c r="CR51" s="288" t="s">
        <v>847</v>
      </c>
      <c r="CS51" s="288" t="s">
        <v>848</v>
      </c>
      <c r="CT51" s="288" t="s">
        <v>429</v>
      </c>
      <c r="CU51" s="288" t="s">
        <v>429</v>
      </c>
      <c r="CV51" s="287">
        <v>3933000000</v>
      </c>
      <c r="CW51" s="287">
        <v>0</v>
      </c>
      <c r="CX51" s="287">
        <v>0</v>
      </c>
      <c r="CY51" s="287">
        <f t="shared" si="27"/>
        <v>3933000</v>
      </c>
      <c r="CZ51" s="287">
        <f t="shared" si="28"/>
        <v>0</v>
      </c>
      <c r="DA51" s="287">
        <f t="shared" si="29"/>
        <v>0</v>
      </c>
      <c r="DK51" s="286" t="s">
        <v>433</v>
      </c>
      <c r="DL51" s="288" t="s">
        <v>449</v>
      </c>
      <c r="DM51" s="286" t="s">
        <v>429</v>
      </c>
      <c r="DN51" s="288" t="s">
        <v>429</v>
      </c>
      <c r="DO51" s="287">
        <v>0</v>
      </c>
      <c r="DP51" s="287">
        <v>5159680332</v>
      </c>
      <c r="DQ51" s="287">
        <v>5159680332</v>
      </c>
      <c r="DR51" s="287">
        <f t="shared" si="31"/>
        <v>0</v>
      </c>
      <c r="DS51" s="287">
        <f t="shared" si="32"/>
        <v>5159680.3320000004</v>
      </c>
      <c r="DT51" s="287">
        <f t="shared" si="33"/>
        <v>5159680.3320000004</v>
      </c>
      <c r="EE51" s="286" t="s">
        <v>433</v>
      </c>
      <c r="EF51" s="288" t="s">
        <v>449</v>
      </c>
      <c r="EG51" s="288" t="s">
        <v>429</v>
      </c>
      <c r="EH51" s="288" t="s">
        <v>429</v>
      </c>
      <c r="EI51" s="287">
        <v>0</v>
      </c>
      <c r="EJ51" s="287">
        <v>6463946696</v>
      </c>
      <c r="EK51" s="287">
        <v>6437247280</v>
      </c>
      <c r="EL51" s="358">
        <f t="shared" si="35"/>
        <v>0</v>
      </c>
      <c r="EM51" s="358">
        <f t="shared" si="36"/>
        <v>6463946.6960000005</v>
      </c>
      <c r="EN51" s="358">
        <f t="shared" si="37"/>
        <v>6437247.2800000003</v>
      </c>
      <c r="EV51" s="357"/>
      <c r="EY51" s="286" t="s">
        <v>433</v>
      </c>
      <c r="EZ51" s="288" t="s">
        <v>449</v>
      </c>
      <c r="FA51" s="288" t="s">
        <v>429</v>
      </c>
      <c r="FB51" s="288" t="s">
        <v>429</v>
      </c>
      <c r="FC51" s="287">
        <v>0</v>
      </c>
      <c r="FD51" s="287">
        <v>6457538330</v>
      </c>
      <c r="FE51" s="287">
        <v>6528600560</v>
      </c>
      <c r="FF51" s="357">
        <f t="shared" si="39"/>
        <v>0</v>
      </c>
      <c r="FG51" s="357">
        <f t="shared" si="40"/>
        <v>6457538.3300000001</v>
      </c>
      <c r="FH51" s="357">
        <f t="shared" si="41"/>
        <v>6528600.5599999996</v>
      </c>
      <c r="FR51" s="364" t="s">
        <v>433</v>
      </c>
      <c r="FS51" s="280" t="s">
        <v>449</v>
      </c>
      <c r="FT51" s="280" t="s">
        <v>429</v>
      </c>
      <c r="FU51" s="280" t="s">
        <v>429</v>
      </c>
      <c r="FV51" s="357">
        <v>0</v>
      </c>
      <c r="FW51" s="357">
        <v>6601385540</v>
      </c>
      <c r="FX51" s="357">
        <v>6522547855</v>
      </c>
      <c r="FY51" s="306">
        <f t="shared" si="43"/>
        <v>0</v>
      </c>
      <c r="FZ51" s="306">
        <f t="shared" si="44"/>
        <v>6601385.54</v>
      </c>
      <c r="GA51" s="306">
        <f t="shared" si="45"/>
        <v>6522547.8550000004</v>
      </c>
      <c r="GK51" s="280" t="s">
        <v>433</v>
      </c>
      <c r="GL51" s="280" t="s">
        <v>449</v>
      </c>
      <c r="GM51" s="280" t="s">
        <v>429</v>
      </c>
      <c r="GN51" s="280" t="s">
        <v>429</v>
      </c>
      <c r="GO51" s="357">
        <v>8937547000</v>
      </c>
      <c r="GP51" s="357">
        <v>0</v>
      </c>
      <c r="GQ51" s="357">
        <v>0</v>
      </c>
      <c r="GR51" s="357">
        <f t="shared" si="47"/>
        <v>8937547</v>
      </c>
      <c r="GS51" s="357">
        <f t="shared" si="48"/>
        <v>0</v>
      </c>
      <c r="GT51" s="357">
        <f t="shared" si="49"/>
        <v>0</v>
      </c>
      <c r="HC51" s="280" t="s">
        <v>433</v>
      </c>
      <c r="HD51" s="280" t="s">
        <v>449</v>
      </c>
      <c r="HE51" s="280" t="s">
        <v>429</v>
      </c>
      <c r="HF51" s="280" t="s">
        <v>429</v>
      </c>
      <c r="HG51" s="305">
        <v>8937547000</v>
      </c>
      <c r="HH51" s="305">
        <v>0</v>
      </c>
      <c r="HI51" s="305">
        <v>0</v>
      </c>
      <c r="HJ51" s="305">
        <f t="shared" si="51"/>
        <v>8937547</v>
      </c>
      <c r="HK51" s="305">
        <f t="shared" si="52"/>
        <v>0</v>
      </c>
      <c r="HL51" s="305">
        <f t="shared" si="53"/>
        <v>0</v>
      </c>
    </row>
    <row r="52" spans="58:220" ht="15" customHeight="1" x14ac:dyDescent="0.2">
      <c r="CR52" s="288" t="s">
        <v>434</v>
      </c>
      <c r="CS52" s="288" t="s">
        <v>127</v>
      </c>
      <c r="CT52" s="288" t="s">
        <v>429</v>
      </c>
      <c r="CU52" s="288" t="s">
        <v>429</v>
      </c>
      <c r="CV52" s="287">
        <v>15276252100</v>
      </c>
      <c r="CW52" s="287">
        <v>0</v>
      </c>
      <c r="CX52" s="287">
        <v>0</v>
      </c>
      <c r="CY52" s="287">
        <f t="shared" si="27"/>
        <v>15276252.1</v>
      </c>
      <c r="CZ52" s="287">
        <f t="shared" si="28"/>
        <v>0</v>
      </c>
      <c r="DA52" s="287">
        <f t="shared" si="29"/>
        <v>0</v>
      </c>
      <c r="DK52" s="286" t="s">
        <v>847</v>
      </c>
      <c r="DL52" s="288" t="s">
        <v>848</v>
      </c>
      <c r="DM52" s="286" t="s">
        <v>429</v>
      </c>
      <c r="DN52" s="288" t="s">
        <v>429</v>
      </c>
      <c r="DO52" s="287">
        <v>3933000000</v>
      </c>
      <c r="DP52" s="287">
        <v>0</v>
      </c>
      <c r="DQ52" s="287">
        <v>0</v>
      </c>
      <c r="DR52" s="287">
        <f t="shared" si="31"/>
        <v>3933000</v>
      </c>
      <c r="DS52" s="287">
        <f t="shared" si="32"/>
        <v>0</v>
      </c>
      <c r="DT52" s="287">
        <f t="shared" si="33"/>
        <v>0</v>
      </c>
      <c r="EE52" s="286" t="s">
        <v>847</v>
      </c>
      <c r="EF52" s="288" t="s">
        <v>848</v>
      </c>
      <c r="EG52" s="288" t="s">
        <v>429</v>
      </c>
      <c r="EH52" s="288" t="s">
        <v>429</v>
      </c>
      <c r="EI52" s="287">
        <v>3933000000</v>
      </c>
      <c r="EJ52" s="287">
        <v>0</v>
      </c>
      <c r="EK52" s="287">
        <v>0</v>
      </c>
      <c r="EL52" s="358">
        <f t="shared" si="35"/>
        <v>3933000</v>
      </c>
      <c r="EM52" s="358">
        <f t="shared" si="36"/>
        <v>0</v>
      </c>
      <c r="EN52" s="358">
        <f t="shared" si="37"/>
        <v>0</v>
      </c>
      <c r="EV52" s="357">
        <f t="shared" si="38"/>
        <v>0</v>
      </c>
      <c r="EY52" s="286" t="s">
        <v>847</v>
      </c>
      <c r="EZ52" s="288" t="s">
        <v>848</v>
      </c>
      <c r="FA52" s="288" t="s">
        <v>429</v>
      </c>
      <c r="FB52" s="288" t="s">
        <v>429</v>
      </c>
      <c r="FC52" s="287">
        <v>3933000000</v>
      </c>
      <c r="FD52" s="287">
        <v>0</v>
      </c>
      <c r="FE52" s="287">
        <v>0</v>
      </c>
      <c r="FF52" s="357">
        <f t="shared" si="39"/>
        <v>3933000</v>
      </c>
      <c r="FG52" s="357">
        <f t="shared" si="40"/>
        <v>0</v>
      </c>
      <c r="FH52" s="357">
        <f t="shared" si="41"/>
        <v>0</v>
      </c>
      <c r="FR52" s="364" t="s">
        <v>847</v>
      </c>
      <c r="FS52" s="280" t="s">
        <v>848</v>
      </c>
      <c r="FT52" s="280" t="s">
        <v>429</v>
      </c>
      <c r="FU52" s="280" t="s">
        <v>429</v>
      </c>
      <c r="FV52" s="357">
        <v>3933000000</v>
      </c>
      <c r="FW52" s="357">
        <v>0</v>
      </c>
      <c r="FX52" s="357">
        <v>0</v>
      </c>
      <c r="FY52" s="306">
        <f t="shared" si="43"/>
        <v>3933000</v>
      </c>
      <c r="FZ52" s="306">
        <f t="shared" si="44"/>
        <v>0</v>
      </c>
      <c r="GA52" s="306">
        <f t="shared" si="45"/>
        <v>0</v>
      </c>
      <c r="GK52" s="280" t="s">
        <v>433</v>
      </c>
      <c r="GL52" s="280" t="s">
        <v>449</v>
      </c>
      <c r="GM52" s="280" t="s">
        <v>429</v>
      </c>
      <c r="GN52" s="280" t="s">
        <v>429</v>
      </c>
      <c r="GO52" s="357">
        <v>0</v>
      </c>
      <c r="GP52" s="357">
        <v>6617146622</v>
      </c>
      <c r="GQ52" s="357">
        <v>6563126868</v>
      </c>
      <c r="GR52" s="357">
        <f t="shared" si="47"/>
        <v>0</v>
      </c>
      <c r="GS52" s="357">
        <f t="shared" si="48"/>
        <v>6617146.6220000004</v>
      </c>
      <c r="GT52" s="357">
        <f t="shared" si="49"/>
        <v>6563126.8679999998</v>
      </c>
      <c r="HC52" s="280" t="s">
        <v>433</v>
      </c>
      <c r="HD52" s="280" t="s">
        <v>449</v>
      </c>
      <c r="HE52" s="280" t="s">
        <v>429</v>
      </c>
      <c r="HF52" s="280" t="s">
        <v>429</v>
      </c>
      <c r="HG52" s="305">
        <v>0</v>
      </c>
      <c r="HH52" s="305">
        <v>8937547000</v>
      </c>
      <c r="HI52" s="305">
        <v>8937547000</v>
      </c>
      <c r="HJ52" s="305">
        <f t="shared" si="51"/>
        <v>0</v>
      </c>
      <c r="HK52" s="305">
        <f t="shared" si="52"/>
        <v>8937547</v>
      </c>
      <c r="HL52" s="305">
        <f t="shared" si="53"/>
        <v>8937547</v>
      </c>
    </row>
    <row r="53" spans="58:220" ht="15" customHeight="1" x14ac:dyDescent="0.2">
      <c r="CR53" s="288" t="s">
        <v>434</v>
      </c>
      <c r="CS53" s="288" t="s">
        <v>127</v>
      </c>
      <c r="CT53" s="288" t="s">
        <v>429</v>
      </c>
      <c r="CU53" s="288" t="s">
        <v>429</v>
      </c>
      <c r="CV53" s="287">
        <v>0</v>
      </c>
      <c r="CW53" s="287">
        <v>15276251603</v>
      </c>
      <c r="CX53" s="287">
        <v>15276251603</v>
      </c>
      <c r="CY53" s="287">
        <f t="shared" si="27"/>
        <v>0</v>
      </c>
      <c r="CZ53" s="287">
        <f t="shared" si="28"/>
        <v>15276251.603</v>
      </c>
      <c r="DA53" s="287">
        <f t="shared" si="29"/>
        <v>15276251.603</v>
      </c>
      <c r="DK53" s="286" t="s">
        <v>847</v>
      </c>
      <c r="DL53" s="288" t="s">
        <v>848</v>
      </c>
      <c r="DM53" s="286" t="s">
        <v>429</v>
      </c>
      <c r="DN53" s="288" t="s">
        <v>429</v>
      </c>
      <c r="DO53" s="287">
        <v>0</v>
      </c>
      <c r="DP53" s="287">
        <v>620990500</v>
      </c>
      <c r="DQ53" s="287">
        <v>0</v>
      </c>
      <c r="DR53" s="287">
        <f t="shared" si="31"/>
        <v>0</v>
      </c>
      <c r="DS53" s="287">
        <f t="shared" si="32"/>
        <v>620990.5</v>
      </c>
      <c r="DT53" s="287">
        <f t="shared" si="33"/>
        <v>0</v>
      </c>
      <c r="EE53" s="286" t="s">
        <v>847</v>
      </c>
      <c r="EF53" s="288" t="s">
        <v>848</v>
      </c>
      <c r="EG53" s="288" t="s">
        <v>429</v>
      </c>
      <c r="EH53" s="288" t="s">
        <v>429</v>
      </c>
      <c r="EI53" s="287">
        <v>0</v>
      </c>
      <c r="EJ53" s="287">
        <v>1241984000</v>
      </c>
      <c r="EK53" s="287">
        <v>1241984000</v>
      </c>
      <c r="EL53" s="358">
        <f t="shared" si="35"/>
        <v>0</v>
      </c>
      <c r="EM53" s="358">
        <f t="shared" si="36"/>
        <v>1241984</v>
      </c>
      <c r="EN53" s="358">
        <f t="shared" si="37"/>
        <v>1241984</v>
      </c>
      <c r="EV53" s="357">
        <f t="shared" si="38"/>
        <v>0</v>
      </c>
      <c r="EY53" s="286" t="s">
        <v>847</v>
      </c>
      <c r="EZ53" s="288" t="s">
        <v>848</v>
      </c>
      <c r="FA53" s="288" t="s">
        <v>429</v>
      </c>
      <c r="FB53" s="288" t="s">
        <v>429</v>
      </c>
      <c r="FC53" s="287">
        <v>0</v>
      </c>
      <c r="FD53" s="287">
        <v>1241984000</v>
      </c>
      <c r="FE53" s="287">
        <v>1587811643</v>
      </c>
      <c r="FF53" s="357">
        <f t="shared" si="39"/>
        <v>0</v>
      </c>
      <c r="FG53" s="357">
        <f t="shared" si="40"/>
        <v>1241984</v>
      </c>
      <c r="FH53" s="357">
        <f t="shared" si="41"/>
        <v>1587811.6429999999</v>
      </c>
      <c r="FR53" s="364" t="s">
        <v>847</v>
      </c>
      <c r="FS53" s="280" t="s">
        <v>848</v>
      </c>
      <c r="FT53" s="280" t="s">
        <v>429</v>
      </c>
      <c r="FU53" s="280" t="s">
        <v>429</v>
      </c>
      <c r="FV53" s="357">
        <v>0</v>
      </c>
      <c r="FW53" s="357">
        <v>1587811643</v>
      </c>
      <c r="FX53" s="357">
        <v>1587811643</v>
      </c>
      <c r="FY53" s="306">
        <f t="shared" si="43"/>
        <v>0</v>
      </c>
      <c r="FZ53" s="306">
        <f t="shared" si="44"/>
        <v>1587811.6429999999</v>
      </c>
      <c r="GA53" s="306">
        <f t="shared" si="45"/>
        <v>1587811.6429999999</v>
      </c>
      <c r="GK53" s="280" t="s">
        <v>847</v>
      </c>
      <c r="GL53" s="280" t="s">
        <v>848</v>
      </c>
      <c r="GM53" s="280" t="s">
        <v>429</v>
      </c>
      <c r="GN53" s="280" t="s">
        <v>429</v>
      </c>
      <c r="GO53" s="357">
        <v>3933000000</v>
      </c>
      <c r="GP53" s="357">
        <v>0</v>
      </c>
      <c r="GQ53" s="357">
        <v>0</v>
      </c>
      <c r="GR53" s="357">
        <f t="shared" si="47"/>
        <v>3933000</v>
      </c>
      <c r="GS53" s="357">
        <f t="shared" si="48"/>
        <v>0</v>
      </c>
      <c r="GT53" s="357">
        <f t="shared" si="49"/>
        <v>0</v>
      </c>
      <c r="HC53" s="280" t="s">
        <v>847</v>
      </c>
      <c r="HD53" s="280" t="s">
        <v>848</v>
      </c>
      <c r="HE53" s="280" t="s">
        <v>429</v>
      </c>
      <c r="HF53" s="280" t="s">
        <v>429</v>
      </c>
      <c r="HG53" s="305">
        <v>3933000000</v>
      </c>
      <c r="HH53" s="305">
        <v>0</v>
      </c>
      <c r="HI53" s="305">
        <v>0</v>
      </c>
      <c r="HJ53" s="305">
        <f t="shared" si="51"/>
        <v>3933000</v>
      </c>
      <c r="HK53" s="305">
        <f t="shared" si="52"/>
        <v>0</v>
      </c>
      <c r="HL53" s="305">
        <f t="shared" si="53"/>
        <v>0</v>
      </c>
    </row>
    <row r="54" spans="58:220" ht="15" customHeight="1" x14ac:dyDescent="0.2">
      <c r="DK54" s="286" t="s">
        <v>434</v>
      </c>
      <c r="DL54" s="288" t="s">
        <v>127</v>
      </c>
      <c r="DM54" s="286" t="s">
        <v>429</v>
      </c>
      <c r="DN54" s="288" t="s">
        <v>429</v>
      </c>
      <c r="DO54" s="287">
        <v>15276252100</v>
      </c>
      <c r="DP54" s="287">
        <v>0</v>
      </c>
      <c r="DQ54" s="287">
        <v>0</v>
      </c>
      <c r="DR54" s="287">
        <f t="shared" si="31"/>
        <v>15276252.1</v>
      </c>
      <c r="DS54" s="287">
        <f t="shared" si="32"/>
        <v>0</v>
      </c>
      <c r="DT54" s="287">
        <f t="shared" si="33"/>
        <v>0</v>
      </c>
      <c r="EE54" s="286" t="s">
        <v>434</v>
      </c>
      <c r="EF54" s="288" t="s">
        <v>127</v>
      </c>
      <c r="EG54" s="288" t="s">
        <v>429</v>
      </c>
      <c r="EH54" s="288" t="s">
        <v>429</v>
      </c>
      <c r="EI54" s="287">
        <v>15276252100</v>
      </c>
      <c r="EJ54" s="287">
        <v>0</v>
      </c>
      <c r="EK54" s="287">
        <v>0</v>
      </c>
      <c r="EL54" s="358">
        <f t="shared" si="35"/>
        <v>15276252.1</v>
      </c>
      <c r="EM54" s="358">
        <f t="shared" si="36"/>
        <v>0</v>
      </c>
      <c r="EN54" s="358">
        <f t="shared" si="37"/>
        <v>0</v>
      </c>
      <c r="EV54" s="357">
        <f t="shared" si="38"/>
        <v>0</v>
      </c>
      <c r="EY54" s="286" t="s">
        <v>434</v>
      </c>
      <c r="EZ54" s="288" t="s">
        <v>127</v>
      </c>
      <c r="FA54" s="288" t="s">
        <v>429</v>
      </c>
      <c r="FB54" s="288" t="s">
        <v>429</v>
      </c>
      <c r="FC54" s="287">
        <v>15276252100</v>
      </c>
      <c r="FD54" s="287">
        <v>0</v>
      </c>
      <c r="FE54" s="287">
        <v>0</v>
      </c>
      <c r="FF54" s="357">
        <f t="shared" si="39"/>
        <v>15276252.1</v>
      </c>
      <c r="FG54" s="357">
        <f t="shared" si="40"/>
        <v>0</v>
      </c>
      <c r="FH54" s="357">
        <f t="shared" si="41"/>
        <v>0</v>
      </c>
      <c r="FR54" s="364" t="s">
        <v>434</v>
      </c>
      <c r="FS54" s="280" t="s">
        <v>127</v>
      </c>
      <c r="FT54" s="280" t="s">
        <v>429</v>
      </c>
      <c r="FU54" s="280" t="s">
        <v>429</v>
      </c>
      <c r="FV54" s="357">
        <v>15276252100</v>
      </c>
      <c r="FW54" s="357">
        <v>0</v>
      </c>
      <c r="FX54" s="357">
        <v>0</v>
      </c>
      <c r="FY54" s="306">
        <f t="shared" si="43"/>
        <v>15276252.1</v>
      </c>
      <c r="FZ54" s="306">
        <f t="shared" si="44"/>
        <v>0</v>
      </c>
      <c r="GA54" s="306">
        <f t="shared" si="45"/>
        <v>0</v>
      </c>
      <c r="GK54" s="280" t="s">
        <v>847</v>
      </c>
      <c r="GL54" s="280" t="s">
        <v>848</v>
      </c>
      <c r="GM54" s="280" t="s">
        <v>429</v>
      </c>
      <c r="GN54" s="280" t="s">
        <v>429</v>
      </c>
      <c r="GO54" s="357">
        <v>0</v>
      </c>
      <c r="GP54" s="357">
        <v>1587811643</v>
      </c>
      <c r="GQ54" s="357">
        <v>1587811643</v>
      </c>
      <c r="GR54" s="357">
        <f t="shared" si="47"/>
        <v>0</v>
      </c>
      <c r="GS54" s="357">
        <f t="shared" si="48"/>
        <v>1587811.6429999999</v>
      </c>
      <c r="GT54" s="357">
        <f t="shared" si="49"/>
        <v>1587811.6429999999</v>
      </c>
      <c r="HC54" s="280" t="s">
        <v>847</v>
      </c>
      <c r="HD54" s="280" t="s">
        <v>848</v>
      </c>
      <c r="HE54" s="280" t="s">
        <v>429</v>
      </c>
      <c r="HF54" s="280" t="s">
        <v>429</v>
      </c>
      <c r="HG54" s="305">
        <v>0</v>
      </c>
      <c r="HH54" s="305">
        <v>3857129763</v>
      </c>
      <c r="HI54" s="305">
        <v>3857129763</v>
      </c>
      <c r="HJ54" s="305">
        <f t="shared" si="51"/>
        <v>0</v>
      </c>
      <c r="HK54" s="305">
        <f t="shared" si="52"/>
        <v>3857129.7629999998</v>
      </c>
      <c r="HL54" s="305">
        <f t="shared" si="53"/>
        <v>3857129.7629999998</v>
      </c>
    </row>
    <row r="55" spans="58:220" ht="15" customHeight="1" x14ac:dyDescent="0.2">
      <c r="DK55" s="286" t="s">
        <v>434</v>
      </c>
      <c r="DL55" s="288" t="s">
        <v>127</v>
      </c>
      <c r="DM55" s="286" t="s">
        <v>429</v>
      </c>
      <c r="DN55" s="288" t="s">
        <v>429</v>
      </c>
      <c r="DO55" s="287">
        <v>0</v>
      </c>
      <c r="DP55" s="287">
        <v>15276251603</v>
      </c>
      <c r="DQ55" s="287">
        <v>15276251603</v>
      </c>
      <c r="DR55" s="287">
        <f t="shared" si="31"/>
        <v>0</v>
      </c>
      <c r="DS55" s="287">
        <f t="shared" si="32"/>
        <v>15276251.603</v>
      </c>
      <c r="DT55" s="287">
        <f t="shared" si="33"/>
        <v>15276251.603</v>
      </c>
      <c r="EE55" s="286" t="s">
        <v>434</v>
      </c>
      <c r="EF55" s="288" t="s">
        <v>127</v>
      </c>
      <c r="EG55" s="288" t="s">
        <v>429</v>
      </c>
      <c r="EH55" s="288" t="s">
        <v>429</v>
      </c>
      <c r="EI55" s="287">
        <v>0</v>
      </c>
      <c r="EJ55" s="287">
        <v>15276251603</v>
      </c>
      <c r="EK55" s="287">
        <v>15276251603</v>
      </c>
      <c r="EL55" s="358">
        <f t="shared" si="35"/>
        <v>0</v>
      </c>
      <c r="EM55" s="358">
        <f t="shared" si="36"/>
        <v>15276251.603</v>
      </c>
      <c r="EN55" s="358">
        <f t="shared" si="37"/>
        <v>15276251.603</v>
      </c>
      <c r="EV55" s="357">
        <f t="shared" si="38"/>
        <v>0</v>
      </c>
      <c r="EY55" s="286" t="s">
        <v>434</v>
      </c>
      <c r="EZ55" s="288" t="s">
        <v>127</v>
      </c>
      <c r="FA55" s="288" t="s">
        <v>429</v>
      </c>
      <c r="FB55" s="288" t="s">
        <v>429</v>
      </c>
      <c r="FC55" s="287">
        <v>0</v>
      </c>
      <c r="FD55" s="287">
        <v>15276251603</v>
      </c>
      <c r="FE55" s="287">
        <v>15276251603</v>
      </c>
      <c r="FF55" s="357">
        <f t="shared" si="39"/>
        <v>0</v>
      </c>
      <c r="FG55" s="357">
        <f t="shared" si="40"/>
        <v>15276251.603</v>
      </c>
      <c r="FH55" s="357">
        <f t="shared" si="41"/>
        <v>15276251.603</v>
      </c>
      <c r="FR55" s="364" t="s">
        <v>434</v>
      </c>
      <c r="FS55" s="280" t="s">
        <v>127</v>
      </c>
      <c r="FT55" s="280" t="s">
        <v>429</v>
      </c>
      <c r="FU55" s="280" t="s">
        <v>429</v>
      </c>
      <c r="FV55" s="357">
        <v>0</v>
      </c>
      <c r="FW55" s="357">
        <v>15276251603</v>
      </c>
      <c r="FX55" s="357">
        <v>15276251603</v>
      </c>
      <c r="FY55" s="306">
        <f t="shared" si="43"/>
        <v>0</v>
      </c>
      <c r="FZ55" s="306">
        <f t="shared" si="44"/>
        <v>15276251.603</v>
      </c>
      <c r="GA55" s="306">
        <f t="shared" si="45"/>
        <v>15276251.603</v>
      </c>
      <c r="GK55" s="280" t="s">
        <v>434</v>
      </c>
      <c r="GL55" s="280" t="s">
        <v>127</v>
      </c>
      <c r="GM55" s="280" t="s">
        <v>429</v>
      </c>
      <c r="GN55" s="280" t="s">
        <v>429</v>
      </c>
      <c r="GO55" s="357">
        <v>15276252100</v>
      </c>
      <c r="GP55" s="357">
        <v>0</v>
      </c>
      <c r="GQ55" s="357">
        <v>0</v>
      </c>
      <c r="GR55" s="357">
        <f t="shared" si="47"/>
        <v>15276252.1</v>
      </c>
      <c r="GS55" s="357">
        <f t="shared" si="48"/>
        <v>0</v>
      </c>
      <c r="GT55" s="357">
        <f t="shared" si="49"/>
        <v>0</v>
      </c>
      <c r="HC55" s="280" t="s">
        <v>434</v>
      </c>
      <c r="HD55" s="280" t="s">
        <v>127</v>
      </c>
      <c r="HE55" s="280" t="s">
        <v>429</v>
      </c>
      <c r="HF55" s="280" t="s">
        <v>429</v>
      </c>
      <c r="HG55" s="305">
        <v>15276252100</v>
      </c>
      <c r="HH55" s="305">
        <v>0</v>
      </c>
      <c r="HI55" s="305">
        <v>0</v>
      </c>
      <c r="HJ55" s="305">
        <f t="shared" si="51"/>
        <v>15276252.1</v>
      </c>
      <c r="HK55" s="305">
        <f t="shared" si="52"/>
        <v>0</v>
      </c>
      <c r="HL55" s="305">
        <f t="shared" si="53"/>
        <v>0</v>
      </c>
    </row>
    <row r="56" spans="58:220" ht="12" x14ac:dyDescent="0.2">
      <c r="EL56" s="358"/>
      <c r="EM56" s="358"/>
      <c r="EN56" s="358"/>
      <c r="FG56" s="357"/>
      <c r="GK56" s="280" t="s">
        <v>434</v>
      </c>
      <c r="GL56" s="280" t="s">
        <v>127</v>
      </c>
      <c r="GM56" s="280" t="s">
        <v>429</v>
      </c>
      <c r="GN56" s="280" t="s">
        <v>429</v>
      </c>
      <c r="GO56" s="357">
        <v>0</v>
      </c>
      <c r="GP56" s="357">
        <v>15276251603</v>
      </c>
      <c r="GQ56" s="357">
        <v>15276251603</v>
      </c>
      <c r="GR56" s="357">
        <f t="shared" si="47"/>
        <v>0</v>
      </c>
      <c r="GS56" s="357">
        <f t="shared" si="48"/>
        <v>15276251.603</v>
      </c>
      <c r="GT56" s="357">
        <f t="shared" si="49"/>
        <v>15276251.603</v>
      </c>
      <c r="HC56" s="280" t="s">
        <v>434</v>
      </c>
      <c r="HD56" s="280" t="s">
        <v>127</v>
      </c>
      <c r="HE56" s="280" t="s">
        <v>429</v>
      </c>
      <c r="HF56" s="280" t="s">
        <v>429</v>
      </c>
      <c r="HG56" s="305">
        <v>0</v>
      </c>
      <c r="HH56" s="305">
        <v>15276251603</v>
      </c>
      <c r="HI56" s="305">
        <v>15276251603</v>
      </c>
      <c r="HJ56" s="305">
        <f t="shared" si="51"/>
        <v>0</v>
      </c>
      <c r="HK56" s="305">
        <f t="shared" si="52"/>
        <v>15276251.603</v>
      </c>
      <c r="HL56" s="305">
        <f t="shared" si="53"/>
        <v>15276251.603</v>
      </c>
    </row>
    <row r="57" spans="58:220" ht="12" x14ac:dyDescent="0.2">
      <c r="EL57" s="358"/>
      <c r="EM57" s="358"/>
      <c r="EN57" s="358"/>
      <c r="FG57" s="357"/>
      <c r="HJ57" s="305"/>
    </row>
  </sheetData>
  <autoFilter ref="A2:J38" xr:uid="{00000000-0009-0000-0000-00000D000000}"/>
  <mergeCells count="23">
    <mergeCell ref="A1:D1"/>
    <mergeCell ref="AE1:AI1"/>
    <mergeCell ref="AM1:AU1"/>
    <mergeCell ref="BR1:BT1"/>
    <mergeCell ref="BY1:CG1"/>
    <mergeCell ref="AY1:BB1"/>
    <mergeCell ref="BF1:BL1"/>
    <mergeCell ref="M1:P1"/>
    <mergeCell ref="T1:Z1"/>
    <mergeCell ref="CK1:CN1"/>
    <mergeCell ref="GV1:GY1"/>
    <mergeCell ref="HC1:HJ1"/>
    <mergeCell ref="EQ1:EU1"/>
    <mergeCell ref="EY1:FE1"/>
    <mergeCell ref="DW1:DZ1"/>
    <mergeCell ref="EE1:EH1"/>
    <mergeCell ref="CR1:CX1"/>
    <mergeCell ref="DC1:DG1"/>
    <mergeCell ref="GD1:GG1"/>
    <mergeCell ref="GK1:GR1"/>
    <mergeCell ref="FK1:FN1"/>
    <mergeCell ref="FR1:FU1"/>
    <mergeCell ref="DK1:DR1"/>
  </mergeCells>
  <pageMargins left="0.7" right="0.7" top="0.75" bottom="0.75" header="0.3" footer="0.3"/>
  <pageSetup paperSize="9" orientation="portrait" r:id="rId1"/>
  <ignoredErrors>
    <ignoredError sqref="FK3:FM19 FR4:FR55 FT3:FT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BF0DC-0E67-4288-B5D8-9901C095B9DB}">
  <dimension ref="A1:AC53"/>
  <sheetViews>
    <sheetView topLeftCell="K1" zoomScale="90" zoomScaleNormal="90" workbookViewId="0">
      <selection activeCell="O15" sqref="O15"/>
    </sheetView>
  </sheetViews>
  <sheetFormatPr baseColWidth="10" defaultColWidth="11.5703125" defaultRowHeight="15" x14ac:dyDescent="0.25"/>
  <cols>
    <col min="1" max="1" width="0" style="592" hidden="1" customWidth="1"/>
    <col min="2" max="3" width="15.140625" style="592" hidden="1" customWidth="1"/>
    <col min="4" max="4" width="36.7109375" style="592" hidden="1" customWidth="1"/>
    <col min="5" max="7" width="11.7109375" style="592" hidden="1" customWidth="1"/>
    <col min="8" max="10" width="12.140625" style="592" hidden="1" customWidth="1"/>
    <col min="11" max="12" width="11.5703125" style="592"/>
    <col min="13" max="13" width="20" style="592" customWidth="1"/>
    <col min="14" max="14" width="10.140625" style="592" bestFit="1" customWidth="1"/>
    <col min="15" max="15" width="33.85546875" style="592" bestFit="1" customWidth="1"/>
    <col min="16" max="16" width="10.42578125" style="592" hidden="1" customWidth="1"/>
    <col min="17" max="17" width="7.5703125" style="592" bestFit="1" customWidth="1"/>
    <col min="18" max="18" width="11.5703125" style="592"/>
    <col min="19" max="19" width="10" style="592" customWidth="1"/>
    <col min="20" max="20" width="20.140625" style="592" customWidth="1"/>
    <col min="21" max="22" width="11.5703125" style="592"/>
    <col min="23" max="25" width="0" style="592" hidden="1" customWidth="1"/>
    <col min="26" max="26" width="11.5703125" style="52"/>
    <col min="27" max="16384" width="11.5703125" style="592"/>
  </cols>
  <sheetData>
    <row r="1" spans="1:29" ht="14.45" customHeight="1" x14ac:dyDescent="0.25">
      <c r="A1" s="1314" t="s">
        <v>1045</v>
      </c>
      <c r="B1" s="1314"/>
      <c r="C1" s="1314"/>
      <c r="D1" s="1314"/>
      <c r="E1" s="1314"/>
      <c r="F1" s="1314"/>
      <c r="G1" s="1314"/>
      <c r="H1" s="716">
        <v>1000</v>
      </c>
      <c r="I1" s="716">
        <v>1</v>
      </c>
      <c r="J1" s="716"/>
      <c r="L1" s="1315" t="s">
        <v>1069</v>
      </c>
      <c r="M1" s="1315"/>
      <c r="N1" s="1315"/>
      <c r="O1" s="1315"/>
      <c r="P1" s="592">
        <v>1000</v>
      </c>
      <c r="Q1" s="592">
        <v>1</v>
      </c>
      <c r="S1" s="1315" t="s">
        <v>1072</v>
      </c>
      <c r="T1" s="1315"/>
      <c r="U1" s="1315"/>
      <c r="V1" s="1315"/>
      <c r="W1" s="1315"/>
      <c r="X1" s="1315"/>
      <c r="Y1" s="1315"/>
      <c r="Z1" s="1315"/>
      <c r="AA1" s="592">
        <v>1000</v>
      </c>
      <c r="AB1" s="592">
        <v>1</v>
      </c>
    </row>
    <row r="2" spans="1:29" ht="27" x14ac:dyDescent="0.25">
      <c r="A2" s="717" t="s">
        <v>410</v>
      </c>
      <c r="B2" s="717" t="s">
        <v>435</v>
      </c>
      <c r="C2" s="717" t="s">
        <v>411</v>
      </c>
      <c r="D2" s="717" t="s">
        <v>505</v>
      </c>
      <c r="E2" s="717" t="s">
        <v>447</v>
      </c>
      <c r="F2" s="717" t="s">
        <v>466</v>
      </c>
      <c r="G2" s="717" t="s">
        <v>413</v>
      </c>
      <c r="H2" s="717" t="s">
        <v>924</v>
      </c>
      <c r="I2" s="717" t="s">
        <v>930</v>
      </c>
      <c r="J2" s="717" t="s">
        <v>929</v>
      </c>
      <c r="L2" s="1040" t="s">
        <v>410</v>
      </c>
      <c r="M2" s="1040" t="s">
        <v>435</v>
      </c>
      <c r="N2" s="1040" t="s">
        <v>411</v>
      </c>
      <c r="O2" s="1040" t="s">
        <v>505</v>
      </c>
      <c r="P2" s="1040" t="s">
        <v>413</v>
      </c>
      <c r="Q2" s="1040" t="s">
        <v>929</v>
      </c>
      <c r="S2" s="1040" t="s">
        <v>410</v>
      </c>
      <c r="T2" s="1040" t="s">
        <v>435</v>
      </c>
      <c r="U2" s="1040" t="s">
        <v>411</v>
      </c>
      <c r="V2" s="1040" t="s">
        <v>505</v>
      </c>
      <c r="W2" s="1040" t="s">
        <v>447</v>
      </c>
      <c r="X2" s="1040" t="s">
        <v>413</v>
      </c>
      <c r="Y2" s="1040" t="s">
        <v>466</v>
      </c>
      <c r="Z2" s="1040" t="s">
        <v>924</v>
      </c>
      <c r="AA2" s="1040" t="s">
        <v>929</v>
      </c>
      <c r="AB2" s="1040" t="s">
        <v>930</v>
      </c>
    </row>
    <row r="3" spans="1:29" ht="13.5" x14ac:dyDescent="0.25">
      <c r="A3" s="543" t="s">
        <v>424</v>
      </c>
      <c r="B3" s="543" t="s">
        <v>218</v>
      </c>
      <c r="C3" s="543" t="s">
        <v>474</v>
      </c>
      <c r="D3" s="543" t="s">
        <v>290</v>
      </c>
      <c r="E3" s="545">
        <v>55279537000</v>
      </c>
      <c r="F3" s="545">
        <v>0</v>
      </c>
      <c r="G3" s="545">
        <v>0</v>
      </c>
      <c r="H3" s="593">
        <f>+E3/$H$1*$I$1</f>
        <v>55279537</v>
      </c>
      <c r="I3" s="593">
        <f t="shared" ref="I3:J3" si="0">+F3/$H$1*$I$1</f>
        <v>0</v>
      </c>
      <c r="J3" s="593">
        <f t="shared" si="0"/>
        <v>0</v>
      </c>
      <c r="L3" s="1041" t="s">
        <v>426</v>
      </c>
      <c r="M3" s="1043" t="s">
        <v>861</v>
      </c>
      <c r="N3" s="1041" t="s">
        <v>427</v>
      </c>
      <c r="O3" s="1041" t="s">
        <v>270</v>
      </c>
      <c r="P3" s="1042">
        <v>2164836</v>
      </c>
      <c r="Q3" s="593">
        <f>+P3/$P$1*$Q$1</f>
        <v>2164.8359999999998</v>
      </c>
      <c r="S3" s="592" t="s">
        <v>424</v>
      </c>
      <c r="T3" s="592" t="s">
        <v>218</v>
      </c>
      <c r="U3" s="592" t="s">
        <v>474</v>
      </c>
      <c r="V3" s="592" t="s">
        <v>290</v>
      </c>
      <c r="W3" s="593">
        <v>55279537000</v>
      </c>
      <c r="X3" s="593">
        <v>0</v>
      </c>
      <c r="Y3" s="593">
        <v>0</v>
      </c>
      <c r="Z3" s="593">
        <f>+W3/$AA$1*$AB$1</f>
        <v>55279537</v>
      </c>
      <c r="AA3" s="593">
        <f t="shared" ref="AA3:AB3" si="1">+X3/$AA$1*$AB$1</f>
        <v>0</v>
      </c>
      <c r="AB3" s="593">
        <f t="shared" si="1"/>
        <v>0</v>
      </c>
      <c r="AC3" s="593"/>
    </row>
    <row r="4" spans="1:29" ht="13.5" x14ac:dyDescent="0.25">
      <c r="A4" s="543" t="s">
        <v>424</v>
      </c>
      <c r="B4" s="543" t="s">
        <v>218</v>
      </c>
      <c r="C4" s="543" t="s">
        <v>425</v>
      </c>
      <c r="D4" s="543" t="s">
        <v>312</v>
      </c>
      <c r="E4" s="545">
        <v>21483868000</v>
      </c>
      <c r="F4" s="545">
        <v>0</v>
      </c>
      <c r="G4" s="545">
        <v>0</v>
      </c>
      <c r="H4" s="593">
        <f t="shared" ref="H4:H46" si="2">+E4/$H$1*$I$1</f>
        <v>21483868</v>
      </c>
      <c r="I4" s="593">
        <f t="shared" ref="I4:I46" si="3">+F4/$H$1*$I$1</f>
        <v>0</v>
      </c>
      <c r="J4" s="593">
        <f t="shared" ref="J4:J46" si="4">+G4/$H$1*$I$1</f>
        <v>0</v>
      </c>
      <c r="L4" s="1041" t="s">
        <v>426</v>
      </c>
      <c r="M4" s="1043" t="s">
        <v>861</v>
      </c>
      <c r="N4" s="1041" t="s">
        <v>427</v>
      </c>
      <c r="O4" s="1041" t="s">
        <v>270</v>
      </c>
      <c r="P4" s="1042">
        <v>15283147</v>
      </c>
      <c r="Q4" s="593">
        <f t="shared" ref="Q4:Q10" si="5">+P4/$P$1*$Q$1</f>
        <v>15283.147000000001</v>
      </c>
      <c r="S4" s="592" t="s">
        <v>424</v>
      </c>
      <c r="T4" s="592" t="s">
        <v>218</v>
      </c>
      <c r="U4" s="592" t="s">
        <v>425</v>
      </c>
      <c r="V4" s="592" t="s">
        <v>312</v>
      </c>
      <c r="W4" s="593">
        <v>21483868000</v>
      </c>
      <c r="X4" s="593">
        <v>0</v>
      </c>
      <c r="Y4" s="593">
        <v>0</v>
      </c>
      <c r="Z4" s="593">
        <f t="shared" ref="Z4:Z53" si="6">+W4/$AA$1*$AB$1</f>
        <v>21483868</v>
      </c>
      <c r="AA4" s="593">
        <f t="shared" ref="AA4:AA53" si="7">+X4/$AA$1*$AB$1</f>
        <v>0</v>
      </c>
      <c r="AB4" s="593">
        <f t="shared" ref="AB4:AB53" si="8">+Y4/$AA$1*$AB$1</f>
        <v>0</v>
      </c>
      <c r="AC4" s="593"/>
    </row>
    <row r="5" spans="1:29" ht="13.5" x14ac:dyDescent="0.25">
      <c r="A5" s="543" t="s">
        <v>426</v>
      </c>
      <c r="B5" s="543" t="s">
        <v>861</v>
      </c>
      <c r="C5" s="543" t="s">
        <v>453</v>
      </c>
      <c r="D5" s="543" t="s">
        <v>269</v>
      </c>
      <c r="E5" s="545">
        <v>2331908000</v>
      </c>
      <c r="F5" s="545">
        <v>0</v>
      </c>
      <c r="G5" s="545">
        <v>0</v>
      </c>
      <c r="H5" s="593">
        <f t="shared" si="2"/>
        <v>2331908</v>
      </c>
      <c r="I5" s="593">
        <f t="shared" si="3"/>
        <v>0</v>
      </c>
      <c r="J5" s="593">
        <f t="shared" si="4"/>
        <v>0</v>
      </c>
      <c r="L5" s="1041" t="s">
        <v>426</v>
      </c>
      <c r="M5" s="1043" t="s">
        <v>861</v>
      </c>
      <c r="N5" s="1041" t="s">
        <v>450</v>
      </c>
      <c r="O5" s="1041" t="s">
        <v>272</v>
      </c>
      <c r="P5" s="1042">
        <v>560074</v>
      </c>
      <c r="Q5" s="593">
        <f t="shared" si="5"/>
        <v>560.07399999999996</v>
      </c>
      <c r="S5" s="592" t="s">
        <v>426</v>
      </c>
      <c r="T5" s="592" t="s">
        <v>861</v>
      </c>
      <c r="U5" s="592" t="s">
        <v>453</v>
      </c>
      <c r="V5" s="592" t="s">
        <v>269</v>
      </c>
      <c r="W5" s="593">
        <v>2331908000</v>
      </c>
      <c r="X5" s="593">
        <v>0</v>
      </c>
      <c r="Y5" s="593">
        <v>0</v>
      </c>
      <c r="Z5" s="593">
        <f t="shared" si="6"/>
        <v>2331908</v>
      </c>
      <c r="AA5" s="593">
        <f t="shared" si="7"/>
        <v>0</v>
      </c>
      <c r="AB5" s="593">
        <f t="shared" si="8"/>
        <v>0</v>
      </c>
      <c r="AC5" s="593"/>
    </row>
    <row r="6" spans="1:29" ht="13.5" x14ac:dyDescent="0.25">
      <c r="A6" s="543" t="s">
        <v>426</v>
      </c>
      <c r="B6" s="543" t="s">
        <v>861</v>
      </c>
      <c r="C6" s="543" t="s">
        <v>475</v>
      </c>
      <c r="D6" s="543" t="s">
        <v>333</v>
      </c>
      <c r="E6" s="545">
        <v>611893000</v>
      </c>
      <c r="F6" s="545">
        <v>0</v>
      </c>
      <c r="G6" s="545">
        <v>0</v>
      </c>
      <c r="H6" s="593">
        <f t="shared" si="2"/>
        <v>611893</v>
      </c>
      <c r="I6" s="593">
        <f t="shared" si="3"/>
        <v>0</v>
      </c>
      <c r="J6" s="593">
        <f t="shared" si="4"/>
        <v>0</v>
      </c>
      <c r="L6" s="1041" t="s">
        <v>426</v>
      </c>
      <c r="M6" s="1043" t="s">
        <v>861</v>
      </c>
      <c r="N6" s="1041" t="s">
        <v>451</v>
      </c>
      <c r="O6" s="1041" t="s">
        <v>452</v>
      </c>
      <c r="P6" s="1042">
        <v>3223453</v>
      </c>
      <c r="Q6" s="593">
        <f t="shared" si="5"/>
        <v>3223.453</v>
      </c>
      <c r="S6" s="592" t="s">
        <v>426</v>
      </c>
      <c r="T6" s="592" t="s">
        <v>861</v>
      </c>
      <c r="U6" s="592" t="s">
        <v>475</v>
      </c>
      <c r="V6" s="592" t="s">
        <v>333</v>
      </c>
      <c r="W6" s="593">
        <v>611893000</v>
      </c>
      <c r="X6" s="593">
        <v>0</v>
      </c>
      <c r="Y6" s="593">
        <v>0</v>
      </c>
      <c r="Z6" s="593">
        <f t="shared" si="6"/>
        <v>611893</v>
      </c>
      <c r="AA6" s="593">
        <f t="shared" si="7"/>
        <v>0</v>
      </c>
      <c r="AB6" s="593">
        <f t="shared" si="8"/>
        <v>0</v>
      </c>
      <c r="AC6" s="593"/>
    </row>
    <row r="7" spans="1:29" ht="13.5" x14ac:dyDescent="0.25">
      <c r="A7" s="543" t="s">
        <v>426</v>
      </c>
      <c r="B7" s="543" t="s">
        <v>861</v>
      </c>
      <c r="C7" s="543" t="s">
        <v>451</v>
      </c>
      <c r="D7" s="543" t="s">
        <v>452</v>
      </c>
      <c r="E7" s="545">
        <v>600000000</v>
      </c>
      <c r="F7" s="545">
        <v>0</v>
      </c>
      <c r="G7" s="545">
        <v>0</v>
      </c>
      <c r="H7" s="593">
        <f t="shared" si="2"/>
        <v>600000</v>
      </c>
      <c r="I7" s="593">
        <f t="shared" si="3"/>
        <v>0</v>
      </c>
      <c r="J7" s="593">
        <f t="shared" si="4"/>
        <v>0</v>
      </c>
      <c r="L7" s="1041" t="s">
        <v>1039</v>
      </c>
      <c r="M7" s="1043" t="s">
        <v>1040</v>
      </c>
      <c r="N7" s="1041" t="s">
        <v>1041</v>
      </c>
      <c r="O7" s="1041" t="s">
        <v>1042</v>
      </c>
      <c r="P7" s="1042">
        <v>36000000</v>
      </c>
      <c r="Q7" s="593">
        <f t="shared" si="5"/>
        <v>36000</v>
      </c>
      <c r="S7" s="592" t="s">
        <v>426</v>
      </c>
      <c r="T7" s="592" t="s">
        <v>861</v>
      </c>
      <c r="U7" s="592" t="s">
        <v>451</v>
      </c>
      <c r="V7" s="592" t="s">
        <v>452</v>
      </c>
      <c r="W7" s="593">
        <v>600000000</v>
      </c>
      <c r="X7" s="593">
        <v>0</v>
      </c>
      <c r="Y7" s="593">
        <v>0</v>
      </c>
      <c r="Z7" s="593">
        <f t="shared" si="6"/>
        <v>600000</v>
      </c>
      <c r="AA7" s="593">
        <f t="shared" si="7"/>
        <v>0</v>
      </c>
      <c r="AB7" s="593">
        <f t="shared" si="8"/>
        <v>0</v>
      </c>
      <c r="AC7" s="593"/>
    </row>
    <row r="8" spans="1:29" ht="13.5" x14ac:dyDescent="0.25">
      <c r="A8" s="543" t="s">
        <v>426</v>
      </c>
      <c r="B8" s="543" t="s">
        <v>861</v>
      </c>
      <c r="C8" s="543" t="s">
        <v>427</v>
      </c>
      <c r="D8" s="543" t="s">
        <v>270</v>
      </c>
      <c r="E8" s="545">
        <v>219933968</v>
      </c>
      <c r="F8" s="545">
        <v>0</v>
      </c>
      <c r="G8" s="545">
        <v>0</v>
      </c>
      <c r="H8" s="593">
        <f t="shared" si="2"/>
        <v>219933.96799999999</v>
      </c>
      <c r="I8" s="593">
        <f t="shared" si="3"/>
        <v>0</v>
      </c>
      <c r="J8" s="593">
        <f t="shared" si="4"/>
        <v>0</v>
      </c>
      <c r="L8" s="1041" t="s">
        <v>788</v>
      </c>
      <c r="M8" s="1043" t="s">
        <v>789</v>
      </c>
      <c r="N8" s="1041" t="s">
        <v>429</v>
      </c>
      <c r="O8" s="1041" t="s">
        <v>429</v>
      </c>
      <c r="P8" s="1042">
        <v>107808223</v>
      </c>
      <c r="Q8" s="593">
        <f t="shared" si="5"/>
        <v>107808.223</v>
      </c>
      <c r="S8" s="592" t="s">
        <v>426</v>
      </c>
      <c r="T8" s="592" t="s">
        <v>861</v>
      </c>
      <c r="U8" s="592" t="s">
        <v>427</v>
      </c>
      <c r="V8" s="592" t="s">
        <v>270</v>
      </c>
      <c r="W8" s="593">
        <v>219933968</v>
      </c>
      <c r="X8" s="593">
        <v>0</v>
      </c>
      <c r="Y8" s="593">
        <v>0</v>
      </c>
      <c r="Z8" s="593">
        <f t="shared" si="6"/>
        <v>219933.96799999999</v>
      </c>
      <c r="AA8" s="593">
        <f t="shared" si="7"/>
        <v>0</v>
      </c>
      <c r="AB8" s="593">
        <f t="shared" si="8"/>
        <v>0</v>
      </c>
      <c r="AC8" s="593"/>
    </row>
    <row r="9" spans="1:29" ht="13.5" x14ac:dyDescent="0.25">
      <c r="A9" s="543" t="s">
        <v>426</v>
      </c>
      <c r="B9" s="543" t="s">
        <v>861</v>
      </c>
      <c r="C9" s="543" t="s">
        <v>427</v>
      </c>
      <c r="D9" s="543" t="s">
        <v>270</v>
      </c>
      <c r="E9" s="545">
        <v>25978032</v>
      </c>
      <c r="F9" s="545">
        <v>0</v>
      </c>
      <c r="G9" s="545">
        <v>0</v>
      </c>
      <c r="H9" s="593">
        <f t="shared" si="2"/>
        <v>25978.031999999999</v>
      </c>
      <c r="I9" s="593">
        <f t="shared" si="3"/>
        <v>0</v>
      </c>
      <c r="J9" s="593">
        <f t="shared" si="4"/>
        <v>0</v>
      </c>
      <c r="L9" s="1041" t="s">
        <v>798</v>
      </c>
      <c r="M9" s="1043" t="s">
        <v>799</v>
      </c>
      <c r="N9" s="1041" t="s">
        <v>429</v>
      </c>
      <c r="O9" s="1041" t="s">
        <v>429</v>
      </c>
      <c r="P9" s="1042">
        <v>10000000</v>
      </c>
      <c r="Q9" s="593">
        <f t="shared" si="5"/>
        <v>10000</v>
      </c>
      <c r="S9" s="592" t="s">
        <v>426</v>
      </c>
      <c r="T9" s="592" t="s">
        <v>861</v>
      </c>
      <c r="U9" s="592" t="s">
        <v>427</v>
      </c>
      <c r="V9" s="592" t="s">
        <v>270</v>
      </c>
      <c r="W9" s="593">
        <v>25978032</v>
      </c>
      <c r="X9" s="593">
        <v>0</v>
      </c>
      <c r="Y9" s="593">
        <v>0</v>
      </c>
      <c r="Z9" s="593">
        <f t="shared" si="6"/>
        <v>25978.031999999999</v>
      </c>
      <c r="AA9" s="593">
        <f t="shared" si="7"/>
        <v>0</v>
      </c>
      <c r="AB9" s="593">
        <f t="shared" si="8"/>
        <v>0</v>
      </c>
      <c r="AC9" s="593"/>
    </row>
    <row r="10" spans="1:29" ht="13.5" x14ac:dyDescent="0.25">
      <c r="A10" s="543" t="s">
        <v>426</v>
      </c>
      <c r="B10" s="543" t="s">
        <v>861</v>
      </c>
      <c r="C10" s="543" t="s">
        <v>450</v>
      </c>
      <c r="D10" s="543" t="s">
        <v>272</v>
      </c>
      <c r="E10" s="545">
        <v>12000000</v>
      </c>
      <c r="F10" s="545">
        <v>0</v>
      </c>
      <c r="G10" s="545">
        <v>0</v>
      </c>
      <c r="H10" s="593">
        <f t="shared" si="2"/>
        <v>12000</v>
      </c>
      <c r="I10" s="593">
        <f t="shared" si="3"/>
        <v>0</v>
      </c>
      <c r="J10" s="593">
        <f t="shared" si="4"/>
        <v>0</v>
      </c>
      <c r="L10" s="1041" t="s">
        <v>806</v>
      </c>
      <c r="M10" s="1043" t="s">
        <v>807</v>
      </c>
      <c r="N10" s="1041" t="s">
        <v>429</v>
      </c>
      <c r="O10" s="1041" t="s">
        <v>429</v>
      </c>
      <c r="P10" s="1042">
        <v>2400929703</v>
      </c>
      <c r="Q10" s="593">
        <f t="shared" si="5"/>
        <v>2400929.7030000002</v>
      </c>
      <c r="S10" s="592" t="s">
        <v>426</v>
      </c>
      <c r="T10" s="592" t="s">
        <v>861</v>
      </c>
      <c r="U10" s="592" t="s">
        <v>450</v>
      </c>
      <c r="V10" s="592" t="s">
        <v>272</v>
      </c>
      <c r="W10" s="593">
        <v>12000000</v>
      </c>
      <c r="X10" s="593">
        <v>0</v>
      </c>
      <c r="Y10" s="593">
        <v>0</v>
      </c>
      <c r="Z10" s="593">
        <f t="shared" si="6"/>
        <v>12000</v>
      </c>
      <c r="AA10" s="593">
        <f t="shared" si="7"/>
        <v>0</v>
      </c>
      <c r="AB10" s="593">
        <f t="shared" si="8"/>
        <v>0</v>
      </c>
      <c r="AC10" s="593"/>
    </row>
    <row r="11" spans="1:29" ht="13.5" x14ac:dyDescent="0.25">
      <c r="A11" s="543" t="s">
        <v>426</v>
      </c>
      <c r="B11" s="543" t="s">
        <v>861</v>
      </c>
      <c r="C11" s="543" t="s">
        <v>428</v>
      </c>
      <c r="D11" s="543" t="s">
        <v>313</v>
      </c>
      <c r="E11" s="545">
        <v>3000000</v>
      </c>
      <c r="F11" s="545">
        <v>0</v>
      </c>
      <c r="G11" s="545">
        <v>0</v>
      </c>
      <c r="H11" s="593">
        <f t="shared" si="2"/>
        <v>3000</v>
      </c>
      <c r="I11" s="593">
        <f t="shared" si="3"/>
        <v>0</v>
      </c>
      <c r="J11" s="593">
        <f t="shared" si="4"/>
        <v>0</v>
      </c>
      <c r="Q11" s="1044">
        <f>SUM(Q3:Q10)</f>
        <v>2575969.4360000002</v>
      </c>
      <c r="S11" s="592" t="s">
        <v>426</v>
      </c>
      <c r="T11" s="592" t="s">
        <v>861</v>
      </c>
      <c r="U11" s="592" t="s">
        <v>428</v>
      </c>
      <c r="V11" s="592" t="s">
        <v>313</v>
      </c>
      <c r="W11" s="593">
        <v>2700000</v>
      </c>
      <c r="X11" s="593">
        <v>0</v>
      </c>
      <c r="Y11" s="593">
        <v>0</v>
      </c>
      <c r="Z11" s="593">
        <f t="shared" si="6"/>
        <v>2700</v>
      </c>
      <c r="AA11" s="593">
        <f t="shared" si="7"/>
        <v>0</v>
      </c>
      <c r="AB11" s="593">
        <f t="shared" si="8"/>
        <v>0</v>
      </c>
      <c r="AC11" s="593"/>
    </row>
    <row r="12" spans="1:29" ht="13.5" x14ac:dyDescent="0.25">
      <c r="A12" s="543" t="s">
        <v>426</v>
      </c>
      <c r="B12" s="543" t="s">
        <v>861</v>
      </c>
      <c r="C12" s="543" t="s">
        <v>450</v>
      </c>
      <c r="D12" s="543" t="s">
        <v>272</v>
      </c>
      <c r="E12" s="545">
        <v>0</v>
      </c>
      <c r="F12" s="545">
        <v>560074</v>
      </c>
      <c r="G12" s="545">
        <v>0</v>
      </c>
      <c r="H12" s="593">
        <f t="shared" si="2"/>
        <v>0</v>
      </c>
      <c r="I12" s="593">
        <f t="shared" si="3"/>
        <v>560.07399999999996</v>
      </c>
      <c r="J12" s="593">
        <f t="shared" si="4"/>
        <v>0</v>
      </c>
      <c r="Q12" s="1045">
        <f>+Q11-'Prog 03'!U11</f>
        <v>0</v>
      </c>
      <c r="S12" s="592" t="s">
        <v>426</v>
      </c>
      <c r="T12" s="592" t="s">
        <v>861</v>
      </c>
      <c r="U12" s="592" t="s">
        <v>428</v>
      </c>
      <c r="V12" s="592" t="s">
        <v>313</v>
      </c>
      <c r="W12" s="593">
        <v>300000</v>
      </c>
      <c r="X12" s="593">
        <v>0</v>
      </c>
      <c r="Y12" s="593">
        <v>0</v>
      </c>
      <c r="Z12" s="593">
        <f t="shared" si="6"/>
        <v>300</v>
      </c>
      <c r="AA12" s="593">
        <f t="shared" si="7"/>
        <v>0</v>
      </c>
      <c r="AB12" s="593">
        <f t="shared" si="8"/>
        <v>0</v>
      </c>
      <c r="AC12" s="593"/>
    </row>
    <row r="13" spans="1:29" ht="13.5" x14ac:dyDescent="0.25">
      <c r="A13" s="543" t="s">
        <v>426</v>
      </c>
      <c r="B13" s="543" t="s">
        <v>861</v>
      </c>
      <c r="C13" s="543" t="s">
        <v>427</v>
      </c>
      <c r="D13" s="543" t="s">
        <v>270</v>
      </c>
      <c r="E13" s="545">
        <v>0</v>
      </c>
      <c r="F13" s="545">
        <v>183397776</v>
      </c>
      <c r="G13" s="545">
        <v>15283149</v>
      </c>
      <c r="H13" s="593">
        <f t="shared" si="2"/>
        <v>0</v>
      </c>
      <c r="I13" s="593">
        <f t="shared" si="3"/>
        <v>183397.77600000001</v>
      </c>
      <c r="J13" s="593">
        <f t="shared" si="4"/>
        <v>15283.148999999999</v>
      </c>
      <c r="S13" s="592" t="s">
        <v>426</v>
      </c>
      <c r="T13" s="592" t="s">
        <v>861</v>
      </c>
      <c r="U13" s="592" t="s">
        <v>427</v>
      </c>
      <c r="V13" s="592" t="s">
        <v>270</v>
      </c>
      <c r="W13" s="593">
        <v>0</v>
      </c>
      <c r="X13" s="593">
        <v>30566296</v>
      </c>
      <c r="Y13" s="593">
        <v>183397776</v>
      </c>
      <c r="Z13" s="593">
        <f t="shared" si="6"/>
        <v>0</v>
      </c>
      <c r="AA13" s="593">
        <f t="shared" si="7"/>
        <v>30566.295999999998</v>
      </c>
      <c r="AB13" s="593">
        <f t="shared" si="8"/>
        <v>183397.77600000001</v>
      </c>
      <c r="AC13" s="593"/>
    </row>
    <row r="14" spans="1:29" ht="13.5" x14ac:dyDescent="0.25">
      <c r="A14" s="543" t="s">
        <v>426</v>
      </c>
      <c r="B14" s="543" t="s">
        <v>861</v>
      </c>
      <c r="C14" s="543" t="s">
        <v>429</v>
      </c>
      <c r="D14" s="543" t="s">
        <v>429</v>
      </c>
      <c r="E14" s="545">
        <v>0</v>
      </c>
      <c r="F14" s="545">
        <v>0</v>
      </c>
      <c r="G14" s="545">
        <v>0</v>
      </c>
      <c r="H14" s="593">
        <f t="shared" si="2"/>
        <v>0</v>
      </c>
      <c r="I14" s="593">
        <f t="shared" si="3"/>
        <v>0</v>
      </c>
      <c r="J14" s="593">
        <f t="shared" si="4"/>
        <v>0</v>
      </c>
      <c r="S14" s="592" t="s">
        <v>426</v>
      </c>
      <c r="T14" s="592" t="s">
        <v>861</v>
      </c>
      <c r="U14" s="592" t="s">
        <v>451</v>
      </c>
      <c r="V14" s="592" t="s">
        <v>452</v>
      </c>
      <c r="W14" s="593">
        <v>0</v>
      </c>
      <c r="X14" s="593">
        <v>3223453</v>
      </c>
      <c r="Y14" s="593">
        <v>14859161</v>
      </c>
      <c r="Z14" s="593">
        <f t="shared" si="6"/>
        <v>0</v>
      </c>
      <c r="AA14" s="593">
        <f t="shared" si="7"/>
        <v>3223.453</v>
      </c>
      <c r="AB14" s="593">
        <f t="shared" si="8"/>
        <v>14859.161</v>
      </c>
      <c r="AC14" s="593"/>
    </row>
    <row r="15" spans="1:29" ht="13.5" x14ac:dyDescent="0.25">
      <c r="A15" s="543" t="s">
        <v>426</v>
      </c>
      <c r="B15" s="543" t="s">
        <v>861</v>
      </c>
      <c r="C15" s="543" t="s">
        <v>427</v>
      </c>
      <c r="D15" s="543" t="s">
        <v>270</v>
      </c>
      <c r="E15" s="545">
        <v>0</v>
      </c>
      <c r="F15" s="545">
        <v>25978032</v>
      </c>
      <c r="G15" s="545">
        <v>2164836</v>
      </c>
      <c r="H15" s="593">
        <f t="shared" si="2"/>
        <v>0</v>
      </c>
      <c r="I15" s="593">
        <f t="shared" si="3"/>
        <v>25978.031999999999</v>
      </c>
      <c r="J15" s="593">
        <f t="shared" si="4"/>
        <v>2164.8359999999998</v>
      </c>
      <c r="S15" s="592" t="s">
        <v>426</v>
      </c>
      <c r="T15" s="592" t="s">
        <v>861</v>
      </c>
      <c r="U15" s="592" t="s">
        <v>427</v>
      </c>
      <c r="V15" s="592" t="s">
        <v>270</v>
      </c>
      <c r="W15" s="593">
        <v>0</v>
      </c>
      <c r="X15" s="593">
        <v>4329672</v>
      </c>
      <c r="Y15" s="593">
        <v>25978032</v>
      </c>
      <c r="Z15" s="593">
        <f t="shared" si="6"/>
        <v>0</v>
      </c>
      <c r="AA15" s="593">
        <f t="shared" si="7"/>
        <v>4329.6719999999996</v>
      </c>
      <c r="AB15" s="593">
        <f t="shared" si="8"/>
        <v>25978.031999999999</v>
      </c>
      <c r="AC15" s="593"/>
    </row>
    <row r="16" spans="1:29" ht="13.5" x14ac:dyDescent="0.25">
      <c r="A16" s="543" t="s">
        <v>426</v>
      </c>
      <c r="B16" s="543" t="s">
        <v>861</v>
      </c>
      <c r="C16" s="543" t="s">
        <v>429</v>
      </c>
      <c r="D16" s="543" t="s">
        <v>429</v>
      </c>
      <c r="E16" s="545">
        <v>0</v>
      </c>
      <c r="F16" s="545">
        <v>0</v>
      </c>
      <c r="G16" s="545">
        <v>0</v>
      </c>
      <c r="H16" s="593">
        <f t="shared" si="2"/>
        <v>0</v>
      </c>
      <c r="I16" s="593">
        <f t="shared" si="3"/>
        <v>0</v>
      </c>
      <c r="J16" s="593">
        <f t="shared" si="4"/>
        <v>0</v>
      </c>
      <c r="S16" s="592" t="s">
        <v>426</v>
      </c>
      <c r="T16" s="592" t="s">
        <v>861</v>
      </c>
      <c r="U16" s="592" t="s">
        <v>429</v>
      </c>
      <c r="V16" s="592" t="s">
        <v>429</v>
      </c>
      <c r="W16" s="593">
        <v>0</v>
      </c>
      <c r="X16" s="593">
        <v>0</v>
      </c>
      <c r="Y16" s="593">
        <v>0</v>
      </c>
      <c r="Z16" s="593">
        <f t="shared" si="6"/>
        <v>0</v>
      </c>
      <c r="AA16" s="593">
        <f t="shared" si="7"/>
        <v>0</v>
      </c>
      <c r="AB16" s="593">
        <f t="shared" si="8"/>
        <v>0</v>
      </c>
      <c r="AC16" s="593"/>
    </row>
    <row r="17" spans="1:29" ht="13.5" x14ac:dyDescent="0.25">
      <c r="A17" s="543" t="s">
        <v>1039</v>
      </c>
      <c r="B17" s="543" t="s">
        <v>1040</v>
      </c>
      <c r="C17" s="543" t="s">
        <v>1041</v>
      </c>
      <c r="D17" s="543" t="s">
        <v>1042</v>
      </c>
      <c r="E17" s="545">
        <v>471602000</v>
      </c>
      <c r="F17" s="545">
        <v>0</v>
      </c>
      <c r="G17" s="545">
        <v>0</v>
      </c>
      <c r="H17" s="593">
        <f t="shared" si="2"/>
        <v>471602</v>
      </c>
      <c r="I17" s="593">
        <f t="shared" si="3"/>
        <v>0</v>
      </c>
      <c r="J17" s="593">
        <f t="shared" si="4"/>
        <v>0</v>
      </c>
      <c r="S17" s="592" t="s">
        <v>426</v>
      </c>
      <c r="T17" s="592" t="s">
        <v>861</v>
      </c>
      <c r="U17" s="592" t="s">
        <v>450</v>
      </c>
      <c r="V17" s="592" t="s">
        <v>272</v>
      </c>
      <c r="W17" s="593">
        <v>0</v>
      </c>
      <c r="X17" s="593">
        <v>560074</v>
      </c>
      <c r="Y17" s="593">
        <v>560074</v>
      </c>
      <c r="Z17" s="593">
        <f t="shared" si="6"/>
        <v>0</v>
      </c>
      <c r="AA17" s="593">
        <f t="shared" si="7"/>
        <v>560.07399999999996</v>
      </c>
      <c r="AB17" s="593">
        <f t="shared" si="8"/>
        <v>560.07399999999996</v>
      </c>
      <c r="AC17" s="593"/>
    </row>
    <row r="18" spans="1:29" ht="13.5" x14ac:dyDescent="0.25">
      <c r="A18" s="543" t="s">
        <v>1039</v>
      </c>
      <c r="B18" s="543" t="s">
        <v>1040</v>
      </c>
      <c r="C18" s="543" t="s">
        <v>429</v>
      </c>
      <c r="D18" s="543" t="s">
        <v>429</v>
      </c>
      <c r="E18" s="545">
        <v>0</v>
      </c>
      <c r="F18" s="545">
        <v>0</v>
      </c>
      <c r="G18" s="545">
        <v>0</v>
      </c>
      <c r="H18" s="593">
        <f t="shared" si="2"/>
        <v>0</v>
      </c>
      <c r="I18" s="593">
        <f t="shared" si="3"/>
        <v>0</v>
      </c>
      <c r="J18" s="593">
        <f t="shared" si="4"/>
        <v>0</v>
      </c>
      <c r="S18" s="592" t="s">
        <v>426</v>
      </c>
      <c r="T18" s="592" t="s">
        <v>861</v>
      </c>
      <c r="U18" s="592" t="s">
        <v>429</v>
      </c>
      <c r="V18" s="592" t="s">
        <v>429</v>
      </c>
      <c r="W18" s="593">
        <v>0</v>
      </c>
      <c r="X18" s="593">
        <v>0</v>
      </c>
      <c r="Y18" s="593">
        <v>0</v>
      </c>
      <c r="Z18" s="593">
        <f t="shared" si="6"/>
        <v>0</v>
      </c>
      <c r="AA18" s="593">
        <f t="shared" si="7"/>
        <v>0</v>
      </c>
      <c r="AB18" s="593">
        <f t="shared" si="8"/>
        <v>0</v>
      </c>
      <c r="AC18" s="593"/>
    </row>
    <row r="19" spans="1:29" ht="13.5" x14ac:dyDescent="0.25">
      <c r="A19" s="543" t="s">
        <v>1039</v>
      </c>
      <c r="B19" s="543" t="s">
        <v>1040</v>
      </c>
      <c r="C19" s="543" t="s">
        <v>429</v>
      </c>
      <c r="D19" s="543" t="s">
        <v>429</v>
      </c>
      <c r="E19" s="545">
        <v>0</v>
      </c>
      <c r="F19" s="545">
        <v>0</v>
      </c>
      <c r="G19" s="545">
        <v>0</v>
      </c>
      <c r="H19" s="593">
        <f t="shared" si="2"/>
        <v>0</v>
      </c>
      <c r="I19" s="593">
        <f t="shared" si="3"/>
        <v>0</v>
      </c>
      <c r="J19" s="593">
        <f t="shared" si="4"/>
        <v>0</v>
      </c>
      <c r="S19" s="592" t="s">
        <v>1039</v>
      </c>
      <c r="T19" s="592" t="s">
        <v>1040</v>
      </c>
      <c r="U19" s="592" t="s">
        <v>1041</v>
      </c>
      <c r="V19" s="592" t="s">
        <v>1042</v>
      </c>
      <c r="W19" s="593">
        <v>468000000</v>
      </c>
      <c r="X19" s="593">
        <v>0</v>
      </c>
      <c r="Y19" s="593">
        <v>0</v>
      </c>
      <c r="Z19" s="593">
        <f t="shared" si="6"/>
        <v>468000</v>
      </c>
      <c r="AA19" s="593">
        <f t="shared" si="7"/>
        <v>0</v>
      </c>
      <c r="AB19" s="593">
        <f t="shared" si="8"/>
        <v>0</v>
      </c>
      <c r="AC19" s="593"/>
    </row>
    <row r="20" spans="1:29" ht="13.5" x14ac:dyDescent="0.25">
      <c r="A20" s="543" t="s">
        <v>1039</v>
      </c>
      <c r="B20" s="543" t="s">
        <v>1040</v>
      </c>
      <c r="C20" s="543" t="s">
        <v>1041</v>
      </c>
      <c r="D20" s="543" t="s">
        <v>1042</v>
      </c>
      <c r="E20" s="545">
        <v>0</v>
      </c>
      <c r="F20" s="545">
        <v>238000000</v>
      </c>
      <c r="G20" s="545">
        <v>36000000</v>
      </c>
      <c r="H20" s="593">
        <f t="shared" si="2"/>
        <v>0</v>
      </c>
      <c r="I20" s="593">
        <f t="shared" si="3"/>
        <v>238000</v>
      </c>
      <c r="J20" s="593">
        <f t="shared" si="4"/>
        <v>36000</v>
      </c>
      <c r="S20" s="592" t="s">
        <v>1039</v>
      </c>
      <c r="T20" s="592" t="s">
        <v>1040</v>
      </c>
      <c r="U20" s="592" t="s">
        <v>1070</v>
      </c>
      <c r="V20" s="592" t="s">
        <v>1071</v>
      </c>
      <c r="W20" s="593">
        <v>3602000</v>
      </c>
      <c r="X20" s="593">
        <v>0</v>
      </c>
      <c r="Y20" s="593">
        <v>0</v>
      </c>
      <c r="Z20" s="593">
        <f t="shared" si="6"/>
        <v>3602</v>
      </c>
      <c r="AA20" s="593">
        <f t="shared" si="7"/>
        <v>0</v>
      </c>
      <c r="AB20" s="593">
        <f t="shared" si="8"/>
        <v>0</v>
      </c>
      <c r="AC20" s="593"/>
    </row>
    <row r="21" spans="1:29" ht="13.5" x14ac:dyDescent="0.25">
      <c r="A21" s="543" t="s">
        <v>1030</v>
      </c>
      <c r="B21" s="543" t="s">
        <v>854</v>
      </c>
      <c r="C21" s="543" t="s">
        <v>429</v>
      </c>
      <c r="D21" s="543" t="s">
        <v>429</v>
      </c>
      <c r="E21" s="545">
        <v>1</v>
      </c>
      <c r="F21" s="545">
        <v>0</v>
      </c>
      <c r="G21" s="545">
        <v>0</v>
      </c>
      <c r="H21" s="593">
        <f t="shared" si="2"/>
        <v>1E-3</v>
      </c>
      <c r="I21" s="593">
        <f t="shared" si="3"/>
        <v>0</v>
      </c>
      <c r="J21" s="593">
        <f t="shared" si="4"/>
        <v>0</v>
      </c>
      <c r="S21" s="592" t="s">
        <v>1039</v>
      </c>
      <c r="T21" s="592" t="s">
        <v>1040</v>
      </c>
      <c r="U21" s="592" t="s">
        <v>429</v>
      </c>
      <c r="V21" s="592" t="s">
        <v>429</v>
      </c>
      <c r="W21" s="593">
        <v>0</v>
      </c>
      <c r="X21" s="593">
        <v>0</v>
      </c>
      <c r="Y21" s="593">
        <v>0</v>
      </c>
      <c r="Z21" s="593">
        <f t="shared" si="6"/>
        <v>0</v>
      </c>
      <c r="AA21" s="593">
        <f t="shared" si="7"/>
        <v>0</v>
      </c>
      <c r="AB21" s="593">
        <f t="shared" si="8"/>
        <v>0</v>
      </c>
      <c r="AC21" s="593"/>
    </row>
    <row r="22" spans="1:29" ht="13.5" x14ac:dyDescent="0.25">
      <c r="A22" s="543" t="s">
        <v>893</v>
      </c>
      <c r="B22" s="543" t="s">
        <v>894</v>
      </c>
      <c r="C22" s="543" t="s">
        <v>429</v>
      </c>
      <c r="D22" s="543" t="s">
        <v>429</v>
      </c>
      <c r="E22" s="545">
        <v>1</v>
      </c>
      <c r="F22" s="545">
        <v>0</v>
      </c>
      <c r="G22" s="545">
        <v>0</v>
      </c>
      <c r="H22" s="593">
        <f t="shared" si="2"/>
        <v>1E-3</v>
      </c>
      <c r="I22" s="593">
        <f t="shared" si="3"/>
        <v>0</v>
      </c>
      <c r="J22" s="593">
        <f t="shared" si="4"/>
        <v>0</v>
      </c>
      <c r="S22" s="592" t="s">
        <v>1039</v>
      </c>
      <c r="T22" s="592" t="s">
        <v>1040</v>
      </c>
      <c r="U22" s="592" t="s">
        <v>429</v>
      </c>
      <c r="V22" s="592" t="s">
        <v>429</v>
      </c>
      <c r="W22" s="593">
        <v>0</v>
      </c>
      <c r="X22" s="593">
        <v>0</v>
      </c>
      <c r="Y22" s="593">
        <v>0</v>
      </c>
      <c r="Z22" s="593">
        <f t="shared" si="6"/>
        <v>0</v>
      </c>
      <c r="AA22" s="593">
        <f t="shared" si="7"/>
        <v>0</v>
      </c>
      <c r="AB22" s="593">
        <f t="shared" si="8"/>
        <v>0</v>
      </c>
      <c r="AC22" s="593"/>
    </row>
    <row r="23" spans="1:29" ht="13.5" x14ac:dyDescent="0.25">
      <c r="A23" s="543" t="s">
        <v>999</v>
      </c>
      <c r="B23" s="543" t="s">
        <v>863</v>
      </c>
      <c r="C23" s="543" t="s">
        <v>429</v>
      </c>
      <c r="D23" s="543" t="s">
        <v>429</v>
      </c>
      <c r="E23" s="545">
        <v>1</v>
      </c>
      <c r="F23" s="545">
        <v>0</v>
      </c>
      <c r="G23" s="545">
        <v>0</v>
      </c>
      <c r="H23" s="593">
        <f t="shared" si="2"/>
        <v>1E-3</v>
      </c>
      <c r="I23" s="593">
        <f t="shared" si="3"/>
        <v>0</v>
      </c>
      <c r="J23" s="593">
        <f t="shared" si="4"/>
        <v>0</v>
      </c>
      <c r="S23" s="592" t="s">
        <v>1039</v>
      </c>
      <c r="T23" s="592" t="s">
        <v>1040</v>
      </c>
      <c r="U23" s="592" t="s">
        <v>1041</v>
      </c>
      <c r="V23" s="592" t="s">
        <v>1042</v>
      </c>
      <c r="W23" s="593">
        <v>0</v>
      </c>
      <c r="X23" s="593">
        <v>72000000</v>
      </c>
      <c r="Y23" s="593">
        <v>238000000</v>
      </c>
      <c r="Z23" s="593">
        <f t="shared" si="6"/>
        <v>0</v>
      </c>
      <c r="AA23" s="593">
        <f t="shared" si="7"/>
        <v>72000</v>
      </c>
      <c r="AB23" s="593">
        <f t="shared" si="8"/>
        <v>238000</v>
      </c>
      <c r="AC23" s="593"/>
    </row>
    <row r="24" spans="1:29" ht="13.5" x14ac:dyDescent="0.25">
      <c r="A24" s="543" t="s">
        <v>1031</v>
      </c>
      <c r="B24" s="543" t="s">
        <v>864</v>
      </c>
      <c r="C24" s="543" t="s">
        <v>429</v>
      </c>
      <c r="D24" s="543" t="s">
        <v>429</v>
      </c>
      <c r="E24" s="545">
        <v>1</v>
      </c>
      <c r="F24" s="545">
        <v>0</v>
      </c>
      <c r="G24" s="545">
        <v>0</v>
      </c>
      <c r="H24" s="593">
        <f t="shared" si="2"/>
        <v>1E-3</v>
      </c>
      <c r="I24" s="593">
        <f t="shared" si="3"/>
        <v>0</v>
      </c>
      <c r="J24" s="593">
        <f t="shared" si="4"/>
        <v>0</v>
      </c>
      <c r="S24" s="592" t="s">
        <v>1030</v>
      </c>
      <c r="T24" s="592" t="s">
        <v>854</v>
      </c>
      <c r="U24" s="592" t="s">
        <v>429</v>
      </c>
      <c r="V24" s="592" t="s">
        <v>429</v>
      </c>
      <c r="W24" s="593">
        <v>1</v>
      </c>
      <c r="X24" s="593">
        <v>0</v>
      </c>
      <c r="Y24" s="593">
        <v>0</v>
      </c>
      <c r="Z24" s="593">
        <f t="shared" si="6"/>
        <v>1E-3</v>
      </c>
      <c r="AA24" s="593">
        <f t="shared" si="7"/>
        <v>0</v>
      </c>
      <c r="AB24" s="593">
        <f t="shared" si="8"/>
        <v>0</v>
      </c>
      <c r="AC24" s="593"/>
    </row>
    <row r="25" spans="1:29" ht="13.5" x14ac:dyDescent="0.25">
      <c r="A25" s="543" t="s">
        <v>860</v>
      </c>
      <c r="B25" s="543" t="s">
        <v>51</v>
      </c>
      <c r="C25" s="543" t="s">
        <v>429</v>
      </c>
      <c r="D25" s="543" t="s">
        <v>429</v>
      </c>
      <c r="E25" s="545">
        <v>9996</v>
      </c>
      <c r="F25" s="545">
        <v>0</v>
      </c>
      <c r="G25" s="545">
        <v>0</v>
      </c>
      <c r="H25" s="593">
        <f t="shared" si="2"/>
        <v>9.9960000000000004</v>
      </c>
      <c r="I25" s="593">
        <f t="shared" si="3"/>
        <v>0</v>
      </c>
      <c r="J25" s="593">
        <f t="shared" si="4"/>
        <v>0</v>
      </c>
      <c r="S25" s="592" t="s">
        <v>893</v>
      </c>
      <c r="T25" s="592" t="s">
        <v>894</v>
      </c>
      <c r="U25" s="592" t="s">
        <v>429</v>
      </c>
      <c r="V25" s="592" t="s">
        <v>429</v>
      </c>
      <c r="W25" s="593">
        <v>1</v>
      </c>
      <c r="X25" s="593">
        <v>0</v>
      </c>
      <c r="Y25" s="593">
        <v>0</v>
      </c>
      <c r="Z25" s="593">
        <f t="shared" si="6"/>
        <v>1E-3</v>
      </c>
      <c r="AA25" s="593">
        <f t="shared" si="7"/>
        <v>0</v>
      </c>
      <c r="AB25" s="593">
        <f t="shared" si="8"/>
        <v>0</v>
      </c>
      <c r="AC25" s="593"/>
    </row>
    <row r="26" spans="1:29" ht="13.5" x14ac:dyDescent="0.25">
      <c r="A26" s="543" t="s">
        <v>432</v>
      </c>
      <c r="B26" s="543" t="s">
        <v>141</v>
      </c>
      <c r="C26" s="543" t="s">
        <v>429</v>
      </c>
      <c r="D26" s="543" t="s">
        <v>429</v>
      </c>
      <c r="E26" s="545">
        <v>8610052000</v>
      </c>
      <c r="F26" s="545">
        <v>0</v>
      </c>
      <c r="G26" s="545">
        <v>0</v>
      </c>
      <c r="H26" s="593">
        <f t="shared" si="2"/>
        <v>8610052</v>
      </c>
      <c r="I26" s="593">
        <f t="shared" si="3"/>
        <v>0</v>
      </c>
      <c r="J26" s="593">
        <f t="shared" si="4"/>
        <v>0</v>
      </c>
      <c r="S26" s="592" t="s">
        <v>999</v>
      </c>
      <c r="T26" s="592" t="s">
        <v>863</v>
      </c>
      <c r="U26" s="592" t="s">
        <v>429</v>
      </c>
      <c r="V26" s="592" t="s">
        <v>429</v>
      </c>
      <c r="W26" s="593">
        <v>1</v>
      </c>
      <c r="X26" s="593">
        <v>0</v>
      </c>
      <c r="Y26" s="593">
        <v>0</v>
      </c>
      <c r="Z26" s="593">
        <f t="shared" si="6"/>
        <v>1E-3</v>
      </c>
      <c r="AA26" s="593">
        <f t="shared" si="7"/>
        <v>0</v>
      </c>
      <c r="AB26" s="593">
        <f t="shared" si="8"/>
        <v>0</v>
      </c>
      <c r="AC26" s="593"/>
    </row>
    <row r="27" spans="1:29" ht="13.5" x14ac:dyDescent="0.25">
      <c r="A27" s="543" t="s">
        <v>786</v>
      </c>
      <c r="B27" s="543" t="s">
        <v>787</v>
      </c>
      <c r="C27" s="543" t="s">
        <v>429</v>
      </c>
      <c r="D27" s="543" t="s">
        <v>429</v>
      </c>
      <c r="E27" s="545">
        <v>44226748000</v>
      </c>
      <c r="F27" s="545">
        <v>0</v>
      </c>
      <c r="G27" s="545">
        <v>0</v>
      </c>
      <c r="H27" s="593">
        <f t="shared" si="2"/>
        <v>44226748</v>
      </c>
      <c r="I27" s="593">
        <f t="shared" si="3"/>
        <v>0</v>
      </c>
      <c r="J27" s="593">
        <f t="shared" si="4"/>
        <v>0</v>
      </c>
      <c r="S27" s="592" t="s">
        <v>1031</v>
      </c>
      <c r="T27" s="592" t="s">
        <v>864</v>
      </c>
      <c r="U27" s="592" t="s">
        <v>429</v>
      </c>
      <c r="V27" s="592" t="s">
        <v>429</v>
      </c>
      <c r="W27" s="593">
        <v>1</v>
      </c>
      <c r="X27" s="593">
        <v>0</v>
      </c>
      <c r="Y27" s="593">
        <v>0</v>
      </c>
      <c r="Z27" s="593">
        <f t="shared" si="6"/>
        <v>1E-3</v>
      </c>
      <c r="AA27" s="593">
        <f t="shared" si="7"/>
        <v>0</v>
      </c>
      <c r="AB27" s="593">
        <f t="shared" si="8"/>
        <v>0</v>
      </c>
      <c r="AC27" s="593"/>
    </row>
    <row r="28" spans="1:29" ht="13.5" x14ac:dyDescent="0.25">
      <c r="A28" s="543" t="s">
        <v>788</v>
      </c>
      <c r="B28" s="543" t="s">
        <v>789</v>
      </c>
      <c r="C28" s="543" t="s">
        <v>429</v>
      </c>
      <c r="D28" s="543" t="s">
        <v>429</v>
      </c>
      <c r="E28" s="545">
        <v>23889916000</v>
      </c>
      <c r="F28" s="545">
        <v>0</v>
      </c>
      <c r="G28" s="545">
        <v>0</v>
      </c>
      <c r="H28" s="593">
        <f t="shared" si="2"/>
        <v>23889916</v>
      </c>
      <c r="I28" s="593">
        <f t="shared" si="3"/>
        <v>0</v>
      </c>
      <c r="J28" s="593">
        <f t="shared" si="4"/>
        <v>0</v>
      </c>
      <c r="S28" s="592" t="s">
        <v>860</v>
      </c>
      <c r="T28" s="592" t="s">
        <v>51</v>
      </c>
      <c r="U28" s="592" t="s">
        <v>429</v>
      </c>
      <c r="V28" s="592" t="s">
        <v>429</v>
      </c>
      <c r="W28" s="593">
        <v>9996</v>
      </c>
      <c r="X28" s="593">
        <v>0</v>
      </c>
      <c r="Y28" s="593">
        <v>0</v>
      </c>
      <c r="Z28" s="593">
        <f t="shared" si="6"/>
        <v>9.9960000000000004</v>
      </c>
      <c r="AA28" s="593">
        <f t="shared" si="7"/>
        <v>0</v>
      </c>
      <c r="AB28" s="593">
        <f t="shared" si="8"/>
        <v>0</v>
      </c>
      <c r="AC28" s="593"/>
    </row>
    <row r="29" spans="1:29" ht="13.5" x14ac:dyDescent="0.25">
      <c r="A29" s="543" t="s">
        <v>790</v>
      </c>
      <c r="B29" s="543" t="s">
        <v>791</v>
      </c>
      <c r="C29" s="543" t="s">
        <v>429</v>
      </c>
      <c r="D29" s="543" t="s">
        <v>429</v>
      </c>
      <c r="E29" s="545">
        <v>17949263000</v>
      </c>
      <c r="F29" s="545">
        <v>0</v>
      </c>
      <c r="G29" s="545">
        <v>0</v>
      </c>
      <c r="H29" s="593">
        <f t="shared" si="2"/>
        <v>17949263</v>
      </c>
      <c r="I29" s="593">
        <f t="shared" si="3"/>
        <v>0</v>
      </c>
      <c r="J29" s="593">
        <f t="shared" si="4"/>
        <v>0</v>
      </c>
      <c r="S29" s="592" t="s">
        <v>432</v>
      </c>
      <c r="T29" s="592" t="s">
        <v>141</v>
      </c>
      <c r="U29" s="592" t="s">
        <v>429</v>
      </c>
      <c r="V29" s="592" t="s">
        <v>429</v>
      </c>
      <c r="W29" s="593">
        <v>8610052000</v>
      </c>
      <c r="X29" s="593">
        <v>0</v>
      </c>
      <c r="Y29" s="593">
        <v>0</v>
      </c>
      <c r="Z29" s="593">
        <f t="shared" si="6"/>
        <v>8610052</v>
      </c>
      <c r="AA29" s="593">
        <f t="shared" si="7"/>
        <v>0</v>
      </c>
      <c r="AB29" s="593">
        <f t="shared" si="8"/>
        <v>0</v>
      </c>
      <c r="AC29" s="593"/>
    </row>
    <row r="30" spans="1:29" ht="13.5" x14ac:dyDescent="0.25">
      <c r="A30" s="543" t="s">
        <v>790</v>
      </c>
      <c r="B30" s="543" t="s">
        <v>791</v>
      </c>
      <c r="C30" s="543" t="s">
        <v>429</v>
      </c>
      <c r="D30" s="543" t="s">
        <v>429</v>
      </c>
      <c r="E30" s="545">
        <v>0</v>
      </c>
      <c r="F30" s="545">
        <v>0</v>
      </c>
      <c r="G30" s="545">
        <v>0</v>
      </c>
      <c r="H30" s="593">
        <f t="shared" si="2"/>
        <v>0</v>
      </c>
      <c r="I30" s="593">
        <f t="shared" si="3"/>
        <v>0</v>
      </c>
      <c r="J30" s="593">
        <f t="shared" si="4"/>
        <v>0</v>
      </c>
      <c r="S30" s="592" t="s">
        <v>786</v>
      </c>
      <c r="T30" s="592" t="s">
        <v>787</v>
      </c>
      <c r="U30" s="592" t="s">
        <v>429</v>
      </c>
      <c r="V30" s="592" t="s">
        <v>429</v>
      </c>
      <c r="W30" s="593">
        <v>44226748000</v>
      </c>
      <c r="X30" s="593">
        <v>0</v>
      </c>
      <c r="Y30" s="593">
        <v>0</v>
      </c>
      <c r="Z30" s="593">
        <f t="shared" si="6"/>
        <v>44226748</v>
      </c>
      <c r="AA30" s="593">
        <f t="shared" si="7"/>
        <v>0</v>
      </c>
      <c r="AB30" s="593">
        <f t="shared" si="8"/>
        <v>0</v>
      </c>
      <c r="AC30" s="593"/>
    </row>
    <row r="31" spans="1:29" ht="13.5" x14ac:dyDescent="0.25">
      <c r="A31" s="543" t="s">
        <v>790</v>
      </c>
      <c r="B31" s="543" t="s">
        <v>791</v>
      </c>
      <c r="C31" s="543" t="s">
        <v>429</v>
      </c>
      <c r="D31" s="543" t="s">
        <v>429</v>
      </c>
      <c r="E31" s="545">
        <v>0</v>
      </c>
      <c r="F31" s="545">
        <v>11026865968</v>
      </c>
      <c r="G31" s="545">
        <v>11026865968</v>
      </c>
      <c r="H31" s="593">
        <f t="shared" si="2"/>
        <v>0</v>
      </c>
      <c r="I31" s="593">
        <f t="shared" si="3"/>
        <v>11026865.968</v>
      </c>
      <c r="J31" s="593">
        <f t="shared" si="4"/>
        <v>11026865.968</v>
      </c>
      <c r="S31" s="592" t="s">
        <v>788</v>
      </c>
      <c r="T31" s="592" t="s">
        <v>789</v>
      </c>
      <c r="U31" s="592" t="s">
        <v>429</v>
      </c>
      <c r="V31" s="592" t="s">
        <v>429</v>
      </c>
      <c r="W31" s="593">
        <v>23589916000</v>
      </c>
      <c r="X31" s="593">
        <v>0</v>
      </c>
      <c r="Y31" s="593">
        <v>0</v>
      </c>
      <c r="Z31" s="593">
        <f t="shared" si="6"/>
        <v>23589916</v>
      </c>
      <c r="AA31" s="593">
        <f t="shared" si="7"/>
        <v>0</v>
      </c>
      <c r="AB31" s="593">
        <f t="shared" si="8"/>
        <v>0</v>
      </c>
      <c r="AC31" s="593"/>
    </row>
    <row r="32" spans="1:29" ht="13.5" x14ac:dyDescent="0.25">
      <c r="A32" s="543" t="s">
        <v>792</v>
      </c>
      <c r="B32" s="543" t="s">
        <v>793</v>
      </c>
      <c r="C32" s="543" t="s">
        <v>429</v>
      </c>
      <c r="D32" s="543" t="s">
        <v>429</v>
      </c>
      <c r="E32" s="545">
        <v>0</v>
      </c>
      <c r="F32" s="545">
        <v>0</v>
      </c>
      <c r="G32" s="545">
        <v>0</v>
      </c>
      <c r="H32" s="593">
        <f t="shared" si="2"/>
        <v>0</v>
      </c>
      <c r="I32" s="593">
        <f t="shared" si="3"/>
        <v>0</v>
      </c>
      <c r="J32" s="593">
        <f t="shared" si="4"/>
        <v>0</v>
      </c>
      <c r="S32" s="592" t="s">
        <v>788</v>
      </c>
      <c r="T32" s="592" t="s">
        <v>789</v>
      </c>
      <c r="U32" s="592" t="s">
        <v>429</v>
      </c>
      <c r="V32" s="592" t="s">
        <v>429</v>
      </c>
      <c r="W32" s="593">
        <v>0</v>
      </c>
      <c r="X32" s="593">
        <v>107808223</v>
      </c>
      <c r="Y32" s="593">
        <v>162468440</v>
      </c>
      <c r="Z32" s="593">
        <f t="shared" si="6"/>
        <v>0</v>
      </c>
      <c r="AA32" s="593">
        <f t="shared" si="7"/>
        <v>107808.223</v>
      </c>
      <c r="AB32" s="593">
        <f t="shared" si="8"/>
        <v>162468.44</v>
      </c>
      <c r="AC32" s="593"/>
    </row>
    <row r="33" spans="1:29" ht="13.5" x14ac:dyDescent="0.25">
      <c r="A33" s="543" t="s">
        <v>794</v>
      </c>
      <c r="B33" s="543" t="s">
        <v>795</v>
      </c>
      <c r="C33" s="543" t="s">
        <v>429</v>
      </c>
      <c r="D33" s="543" t="s">
        <v>429</v>
      </c>
      <c r="E33" s="545">
        <v>6527670000</v>
      </c>
      <c r="F33" s="545">
        <v>0</v>
      </c>
      <c r="G33" s="545">
        <v>0</v>
      </c>
      <c r="H33" s="593">
        <f t="shared" si="2"/>
        <v>6527670</v>
      </c>
      <c r="I33" s="593">
        <f t="shared" si="3"/>
        <v>0</v>
      </c>
      <c r="J33" s="593">
        <f t="shared" si="4"/>
        <v>0</v>
      </c>
      <c r="S33" s="592" t="s">
        <v>790</v>
      </c>
      <c r="T33" s="592" t="s">
        <v>791</v>
      </c>
      <c r="U33" s="592" t="s">
        <v>429</v>
      </c>
      <c r="V33" s="592" t="s">
        <v>429</v>
      </c>
      <c r="W33" s="593">
        <v>17949263000</v>
      </c>
      <c r="X33" s="593">
        <v>0</v>
      </c>
      <c r="Y33" s="593">
        <v>0</v>
      </c>
      <c r="Z33" s="593">
        <f t="shared" si="6"/>
        <v>17949263</v>
      </c>
      <c r="AA33" s="593">
        <f t="shared" si="7"/>
        <v>0</v>
      </c>
      <c r="AB33" s="593">
        <f t="shared" si="8"/>
        <v>0</v>
      </c>
      <c r="AC33" s="593"/>
    </row>
    <row r="34" spans="1:29" ht="13.5" x14ac:dyDescent="0.25">
      <c r="A34" s="543" t="s">
        <v>794</v>
      </c>
      <c r="B34" s="543" t="s">
        <v>795</v>
      </c>
      <c r="C34" s="543" t="s">
        <v>429</v>
      </c>
      <c r="D34" s="543" t="s">
        <v>429</v>
      </c>
      <c r="E34" s="545">
        <v>0</v>
      </c>
      <c r="F34" s="545">
        <v>16805000</v>
      </c>
      <c r="G34" s="545">
        <v>16805000</v>
      </c>
      <c r="H34" s="593">
        <f t="shared" si="2"/>
        <v>0</v>
      </c>
      <c r="I34" s="593">
        <f t="shared" si="3"/>
        <v>16805</v>
      </c>
      <c r="J34" s="593">
        <f t="shared" si="4"/>
        <v>16805</v>
      </c>
      <c r="S34" s="592" t="s">
        <v>790</v>
      </c>
      <c r="T34" s="592" t="s">
        <v>791</v>
      </c>
      <c r="U34" s="592" t="s">
        <v>429</v>
      </c>
      <c r="V34" s="592" t="s">
        <v>429</v>
      </c>
      <c r="W34" s="593">
        <v>0</v>
      </c>
      <c r="X34" s="593">
        <v>11026865968</v>
      </c>
      <c r="Y34" s="593">
        <v>11026865968</v>
      </c>
      <c r="Z34" s="593">
        <f t="shared" si="6"/>
        <v>0</v>
      </c>
      <c r="AA34" s="593">
        <f t="shared" si="7"/>
        <v>11026865.968</v>
      </c>
      <c r="AB34" s="593">
        <f t="shared" si="8"/>
        <v>11026865.968</v>
      </c>
      <c r="AC34" s="593"/>
    </row>
    <row r="35" spans="1:29" ht="13.5" x14ac:dyDescent="0.25">
      <c r="A35" s="543" t="s">
        <v>796</v>
      </c>
      <c r="B35" s="543" t="s">
        <v>797</v>
      </c>
      <c r="C35" s="543" t="s">
        <v>429</v>
      </c>
      <c r="D35" s="543" t="s">
        <v>429</v>
      </c>
      <c r="E35" s="545">
        <v>5360526000</v>
      </c>
      <c r="F35" s="545">
        <v>0</v>
      </c>
      <c r="G35" s="545">
        <v>0</v>
      </c>
      <c r="H35" s="593">
        <f t="shared" si="2"/>
        <v>5360526</v>
      </c>
      <c r="I35" s="593">
        <f t="shared" si="3"/>
        <v>0</v>
      </c>
      <c r="J35" s="593">
        <f t="shared" si="4"/>
        <v>0</v>
      </c>
      <c r="S35" s="592" t="s">
        <v>790</v>
      </c>
      <c r="T35" s="592" t="s">
        <v>791</v>
      </c>
      <c r="U35" s="592" t="s">
        <v>429</v>
      </c>
      <c r="V35" s="592" t="s">
        <v>429</v>
      </c>
      <c r="W35" s="593">
        <v>0</v>
      </c>
      <c r="X35" s="593">
        <v>0</v>
      </c>
      <c r="Y35" s="593">
        <v>0</v>
      </c>
      <c r="Z35" s="593">
        <f t="shared" si="6"/>
        <v>0</v>
      </c>
      <c r="AA35" s="593">
        <f t="shared" si="7"/>
        <v>0</v>
      </c>
      <c r="AB35" s="593">
        <f t="shared" si="8"/>
        <v>0</v>
      </c>
      <c r="AC35" s="593"/>
    </row>
    <row r="36" spans="1:29" ht="13.5" x14ac:dyDescent="0.25">
      <c r="A36" s="543" t="s">
        <v>798</v>
      </c>
      <c r="B36" s="543" t="s">
        <v>799</v>
      </c>
      <c r="C36" s="543" t="s">
        <v>429</v>
      </c>
      <c r="D36" s="543" t="s">
        <v>429</v>
      </c>
      <c r="E36" s="545">
        <v>2440674000</v>
      </c>
      <c r="F36" s="545">
        <v>0</v>
      </c>
      <c r="G36" s="545">
        <v>0</v>
      </c>
      <c r="H36" s="593">
        <f t="shared" si="2"/>
        <v>2440674</v>
      </c>
      <c r="I36" s="593">
        <f t="shared" si="3"/>
        <v>0</v>
      </c>
      <c r="J36" s="593">
        <f t="shared" si="4"/>
        <v>0</v>
      </c>
      <c r="S36" s="592" t="s">
        <v>792</v>
      </c>
      <c r="T36" s="592" t="s">
        <v>793</v>
      </c>
      <c r="U36" s="592" t="s">
        <v>429</v>
      </c>
      <c r="V36" s="592" t="s">
        <v>429</v>
      </c>
      <c r="W36" s="593">
        <v>300000000</v>
      </c>
      <c r="X36" s="593">
        <v>0</v>
      </c>
      <c r="Y36" s="593">
        <v>0</v>
      </c>
      <c r="Z36" s="593">
        <f t="shared" si="6"/>
        <v>300000</v>
      </c>
      <c r="AA36" s="593">
        <f t="shared" si="7"/>
        <v>0</v>
      </c>
      <c r="AB36" s="593">
        <f t="shared" si="8"/>
        <v>0</v>
      </c>
      <c r="AC36" s="593"/>
    </row>
    <row r="37" spans="1:29" ht="13.5" x14ac:dyDescent="0.25">
      <c r="A37" s="543" t="s">
        <v>800</v>
      </c>
      <c r="B37" s="543" t="s">
        <v>801</v>
      </c>
      <c r="C37" s="543" t="s">
        <v>429</v>
      </c>
      <c r="D37" s="543" t="s">
        <v>429</v>
      </c>
      <c r="E37" s="545">
        <v>2266492000</v>
      </c>
      <c r="F37" s="545">
        <v>0</v>
      </c>
      <c r="G37" s="545">
        <v>0</v>
      </c>
      <c r="H37" s="593">
        <f t="shared" si="2"/>
        <v>2266492</v>
      </c>
      <c r="I37" s="593">
        <f t="shared" si="3"/>
        <v>0</v>
      </c>
      <c r="J37" s="593">
        <f t="shared" si="4"/>
        <v>0</v>
      </c>
      <c r="S37" s="592" t="s">
        <v>794</v>
      </c>
      <c r="T37" s="592" t="s">
        <v>795</v>
      </c>
      <c r="U37" s="592" t="s">
        <v>429</v>
      </c>
      <c r="V37" s="592" t="s">
        <v>429</v>
      </c>
      <c r="W37" s="593">
        <v>6527670000</v>
      </c>
      <c r="X37" s="593">
        <v>0</v>
      </c>
      <c r="Y37" s="593">
        <v>0</v>
      </c>
      <c r="Z37" s="593">
        <f t="shared" si="6"/>
        <v>6527670</v>
      </c>
      <c r="AA37" s="593">
        <f t="shared" si="7"/>
        <v>0</v>
      </c>
      <c r="AB37" s="593">
        <f t="shared" si="8"/>
        <v>0</v>
      </c>
      <c r="AC37" s="593"/>
    </row>
    <row r="38" spans="1:29" ht="13.5" x14ac:dyDescent="0.25">
      <c r="A38" s="543" t="s">
        <v>802</v>
      </c>
      <c r="B38" s="543" t="s">
        <v>803</v>
      </c>
      <c r="C38" s="543" t="s">
        <v>429</v>
      </c>
      <c r="D38" s="543" t="s">
        <v>429</v>
      </c>
      <c r="E38" s="545">
        <v>8048156000</v>
      </c>
      <c r="F38" s="545">
        <v>0</v>
      </c>
      <c r="G38" s="545">
        <v>0</v>
      </c>
      <c r="H38" s="593">
        <f t="shared" si="2"/>
        <v>8048156</v>
      </c>
      <c r="I38" s="593">
        <f t="shared" si="3"/>
        <v>0</v>
      </c>
      <c r="J38" s="593">
        <f t="shared" si="4"/>
        <v>0</v>
      </c>
      <c r="S38" s="592" t="s">
        <v>794</v>
      </c>
      <c r="T38" s="592" t="s">
        <v>795</v>
      </c>
      <c r="U38" s="592" t="s">
        <v>429</v>
      </c>
      <c r="V38" s="592" t="s">
        <v>429</v>
      </c>
      <c r="W38" s="593">
        <v>0</v>
      </c>
      <c r="X38" s="593">
        <v>16805000</v>
      </c>
      <c r="Y38" s="593">
        <v>16805000</v>
      </c>
      <c r="Z38" s="593">
        <f t="shared" si="6"/>
        <v>0</v>
      </c>
      <c r="AA38" s="593">
        <f t="shared" si="7"/>
        <v>16805</v>
      </c>
      <c r="AB38" s="593">
        <f t="shared" si="8"/>
        <v>16805</v>
      </c>
      <c r="AC38" s="593"/>
    </row>
    <row r="39" spans="1:29" ht="13.5" x14ac:dyDescent="0.25">
      <c r="A39" s="543" t="s">
        <v>804</v>
      </c>
      <c r="B39" s="543" t="s">
        <v>805</v>
      </c>
      <c r="C39" s="543" t="s">
        <v>429</v>
      </c>
      <c r="D39" s="543" t="s">
        <v>429</v>
      </c>
      <c r="E39" s="545">
        <v>31470675000</v>
      </c>
      <c r="F39" s="545">
        <v>0</v>
      </c>
      <c r="G39" s="545">
        <v>0</v>
      </c>
      <c r="H39" s="593">
        <f t="shared" si="2"/>
        <v>31470675</v>
      </c>
      <c r="I39" s="593">
        <f t="shared" si="3"/>
        <v>0</v>
      </c>
      <c r="J39" s="593">
        <f t="shared" si="4"/>
        <v>0</v>
      </c>
      <c r="S39" s="592" t="s">
        <v>796</v>
      </c>
      <c r="T39" s="592" t="s">
        <v>797</v>
      </c>
      <c r="U39" s="592" t="s">
        <v>429</v>
      </c>
      <c r="V39" s="592" t="s">
        <v>429</v>
      </c>
      <c r="W39" s="593">
        <v>5360526000</v>
      </c>
      <c r="X39" s="593">
        <v>0</v>
      </c>
      <c r="Y39" s="593">
        <v>0</v>
      </c>
      <c r="Z39" s="593">
        <f t="shared" si="6"/>
        <v>5360526</v>
      </c>
      <c r="AA39" s="593">
        <f t="shared" si="7"/>
        <v>0</v>
      </c>
      <c r="AB39" s="593">
        <f t="shared" si="8"/>
        <v>0</v>
      </c>
      <c r="AC39" s="593"/>
    </row>
    <row r="40" spans="1:29" ht="13.5" x14ac:dyDescent="0.25">
      <c r="A40" s="543" t="s">
        <v>806</v>
      </c>
      <c r="B40" s="543" t="s">
        <v>807</v>
      </c>
      <c r="C40" s="543" t="s">
        <v>429</v>
      </c>
      <c r="D40" s="543" t="s">
        <v>429</v>
      </c>
      <c r="E40" s="545">
        <v>9562068000</v>
      </c>
      <c r="F40" s="545">
        <v>0</v>
      </c>
      <c r="G40" s="545">
        <v>0</v>
      </c>
      <c r="H40" s="593">
        <f t="shared" si="2"/>
        <v>9562068</v>
      </c>
      <c r="I40" s="593">
        <f t="shared" si="3"/>
        <v>0</v>
      </c>
      <c r="J40" s="593">
        <f t="shared" si="4"/>
        <v>0</v>
      </c>
      <c r="S40" s="592" t="s">
        <v>798</v>
      </c>
      <c r="T40" s="592" t="s">
        <v>799</v>
      </c>
      <c r="U40" s="592" t="s">
        <v>429</v>
      </c>
      <c r="V40" s="592" t="s">
        <v>429</v>
      </c>
      <c r="W40" s="593">
        <v>2440674000</v>
      </c>
      <c r="X40" s="593">
        <v>0</v>
      </c>
      <c r="Y40" s="593">
        <v>0</v>
      </c>
      <c r="Z40" s="593">
        <f t="shared" si="6"/>
        <v>2440674</v>
      </c>
      <c r="AA40" s="593">
        <f t="shared" si="7"/>
        <v>0</v>
      </c>
      <c r="AB40" s="593">
        <f t="shared" si="8"/>
        <v>0</v>
      </c>
      <c r="AC40" s="593"/>
    </row>
    <row r="41" spans="1:29" ht="13.5" x14ac:dyDescent="0.25">
      <c r="A41" s="543" t="s">
        <v>430</v>
      </c>
      <c r="B41" s="543" t="s">
        <v>448</v>
      </c>
      <c r="C41" s="543" t="s">
        <v>429</v>
      </c>
      <c r="D41" s="543" t="s">
        <v>429</v>
      </c>
      <c r="E41" s="545">
        <v>17361590000</v>
      </c>
      <c r="F41" s="545">
        <v>0</v>
      </c>
      <c r="G41" s="545">
        <v>0</v>
      </c>
      <c r="H41" s="593">
        <f t="shared" si="2"/>
        <v>17361590</v>
      </c>
      <c r="I41" s="593">
        <f t="shared" si="3"/>
        <v>0</v>
      </c>
      <c r="J41" s="593">
        <f t="shared" si="4"/>
        <v>0</v>
      </c>
      <c r="S41" s="592" t="s">
        <v>798</v>
      </c>
      <c r="T41" s="592" t="s">
        <v>799</v>
      </c>
      <c r="U41" s="592" t="s">
        <v>429</v>
      </c>
      <c r="V41" s="592" t="s">
        <v>429</v>
      </c>
      <c r="W41" s="593">
        <v>0</v>
      </c>
      <c r="X41" s="593">
        <v>10000000</v>
      </c>
      <c r="Y41" s="593">
        <v>10000000</v>
      </c>
      <c r="Z41" s="593">
        <f t="shared" si="6"/>
        <v>0</v>
      </c>
      <c r="AA41" s="593">
        <f t="shared" si="7"/>
        <v>10000</v>
      </c>
      <c r="AB41" s="593">
        <f t="shared" si="8"/>
        <v>10000</v>
      </c>
      <c r="AC41" s="593"/>
    </row>
    <row r="42" spans="1:29" ht="13.5" x14ac:dyDescent="0.25">
      <c r="A42" s="543" t="s">
        <v>433</v>
      </c>
      <c r="B42" s="543" t="s">
        <v>1043</v>
      </c>
      <c r="C42" s="543" t="s">
        <v>429</v>
      </c>
      <c r="D42" s="543" t="s">
        <v>429</v>
      </c>
      <c r="E42" s="545">
        <v>9905707000</v>
      </c>
      <c r="F42" s="545">
        <v>0</v>
      </c>
      <c r="G42" s="545">
        <v>0</v>
      </c>
      <c r="H42" s="593">
        <f t="shared" si="2"/>
        <v>9905707</v>
      </c>
      <c r="I42" s="593">
        <f t="shared" si="3"/>
        <v>0</v>
      </c>
      <c r="J42" s="593">
        <f t="shared" si="4"/>
        <v>0</v>
      </c>
      <c r="S42" s="592" t="s">
        <v>800</v>
      </c>
      <c r="T42" s="592" t="s">
        <v>801</v>
      </c>
      <c r="U42" s="592" t="s">
        <v>429</v>
      </c>
      <c r="V42" s="592" t="s">
        <v>429</v>
      </c>
      <c r="W42" s="593">
        <v>2266492000</v>
      </c>
      <c r="X42" s="593">
        <v>0</v>
      </c>
      <c r="Y42" s="593">
        <v>0</v>
      </c>
      <c r="Z42" s="593">
        <f t="shared" si="6"/>
        <v>2266492</v>
      </c>
      <c r="AA42" s="593">
        <f t="shared" si="7"/>
        <v>0</v>
      </c>
      <c r="AB42" s="593">
        <f t="shared" si="8"/>
        <v>0</v>
      </c>
      <c r="AC42" s="593"/>
    </row>
    <row r="43" spans="1:29" ht="13.5" x14ac:dyDescent="0.25">
      <c r="A43" s="543" t="s">
        <v>847</v>
      </c>
      <c r="B43" s="543" t="s">
        <v>848</v>
      </c>
      <c r="C43" s="543" t="s">
        <v>429</v>
      </c>
      <c r="D43" s="543" t="s">
        <v>429</v>
      </c>
      <c r="E43" s="545">
        <v>3995732000</v>
      </c>
      <c r="F43" s="545">
        <v>0</v>
      </c>
      <c r="G43" s="545">
        <v>0</v>
      </c>
      <c r="H43" s="593">
        <f t="shared" si="2"/>
        <v>3995732</v>
      </c>
      <c r="I43" s="593">
        <f t="shared" si="3"/>
        <v>0</v>
      </c>
      <c r="J43" s="593">
        <f t="shared" si="4"/>
        <v>0</v>
      </c>
      <c r="S43" s="592" t="s">
        <v>802</v>
      </c>
      <c r="T43" s="592" t="s">
        <v>803</v>
      </c>
      <c r="U43" s="592" t="s">
        <v>429</v>
      </c>
      <c r="V43" s="592" t="s">
        <v>429</v>
      </c>
      <c r="W43" s="593">
        <v>8048156000</v>
      </c>
      <c r="X43" s="593">
        <v>0</v>
      </c>
      <c r="Y43" s="593">
        <v>0</v>
      </c>
      <c r="Z43" s="593">
        <f t="shared" si="6"/>
        <v>8048156</v>
      </c>
      <c r="AA43" s="593">
        <f t="shared" si="7"/>
        <v>0</v>
      </c>
      <c r="AB43" s="593">
        <f t="shared" si="8"/>
        <v>0</v>
      </c>
      <c r="AC43" s="593"/>
    </row>
    <row r="44" spans="1:29" ht="13.5" x14ac:dyDescent="0.25">
      <c r="A44" s="543" t="s">
        <v>434</v>
      </c>
      <c r="B44" s="543" t="s">
        <v>127</v>
      </c>
      <c r="C44" s="543" t="s">
        <v>429</v>
      </c>
      <c r="D44" s="543" t="s">
        <v>429</v>
      </c>
      <c r="E44" s="545">
        <v>10100</v>
      </c>
      <c r="F44" s="545">
        <v>0</v>
      </c>
      <c r="G44" s="545">
        <v>0</v>
      </c>
      <c r="H44" s="593">
        <f t="shared" si="2"/>
        <v>10.1</v>
      </c>
      <c r="I44" s="593">
        <f t="shared" si="3"/>
        <v>0</v>
      </c>
      <c r="J44" s="593">
        <f t="shared" si="4"/>
        <v>0</v>
      </c>
      <c r="S44" s="592" t="s">
        <v>804</v>
      </c>
      <c r="T44" s="592" t="s">
        <v>805</v>
      </c>
      <c r="U44" s="592" t="s">
        <v>429</v>
      </c>
      <c r="V44" s="592" t="s">
        <v>429</v>
      </c>
      <c r="W44" s="593">
        <v>31470675000</v>
      </c>
      <c r="X44" s="593">
        <v>0</v>
      </c>
      <c r="Y44" s="593">
        <v>0</v>
      </c>
      <c r="Z44" s="593">
        <f t="shared" si="6"/>
        <v>31470675</v>
      </c>
      <c r="AA44" s="593">
        <f t="shared" si="7"/>
        <v>0</v>
      </c>
      <c r="AB44" s="593">
        <f t="shared" si="8"/>
        <v>0</v>
      </c>
      <c r="AC44" s="593"/>
    </row>
    <row r="45" spans="1:29" ht="13.5" x14ac:dyDescent="0.25">
      <c r="A45" s="543" t="s">
        <v>434</v>
      </c>
      <c r="B45" s="543" t="s">
        <v>127</v>
      </c>
      <c r="C45" s="543" t="s">
        <v>429</v>
      </c>
      <c r="D45" s="543" t="s">
        <v>429</v>
      </c>
      <c r="E45" s="545">
        <v>0</v>
      </c>
      <c r="F45" s="545">
        <v>43933736285</v>
      </c>
      <c r="G45" s="545">
        <v>43933736285</v>
      </c>
      <c r="H45" s="593">
        <f t="shared" si="2"/>
        <v>0</v>
      </c>
      <c r="I45" s="593">
        <f t="shared" si="3"/>
        <v>43933736.284999996</v>
      </c>
      <c r="J45" s="593">
        <f t="shared" si="4"/>
        <v>43933736.284999996</v>
      </c>
      <c r="S45" s="592" t="s">
        <v>806</v>
      </c>
      <c r="T45" s="592" t="s">
        <v>807</v>
      </c>
      <c r="U45" s="592" t="s">
        <v>429</v>
      </c>
      <c r="V45" s="592" t="s">
        <v>429</v>
      </c>
      <c r="W45" s="593">
        <v>9562068000</v>
      </c>
      <c r="X45" s="593">
        <v>0</v>
      </c>
      <c r="Y45" s="593">
        <v>0</v>
      </c>
      <c r="Z45" s="593">
        <f t="shared" si="6"/>
        <v>9562068</v>
      </c>
      <c r="AA45" s="593">
        <f t="shared" si="7"/>
        <v>0</v>
      </c>
      <c r="AB45" s="593">
        <f t="shared" si="8"/>
        <v>0</v>
      </c>
      <c r="AC45" s="593"/>
    </row>
    <row r="46" spans="1:29" ht="13.5" x14ac:dyDescent="0.25">
      <c r="A46" s="543" t="s">
        <v>1044</v>
      </c>
      <c r="B46" s="543" t="s">
        <v>124</v>
      </c>
      <c r="C46" s="543" t="s">
        <v>429</v>
      </c>
      <c r="D46" s="543" t="s">
        <v>429</v>
      </c>
      <c r="E46" s="545">
        <v>100</v>
      </c>
      <c r="F46" s="545">
        <v>0</v>
      </c>
      <c r="G46" s="545">
        <v>0</v>
      </c>
      <c r="H46" s="593">
        <f t="shared" si="2"/>
        <v>0.1</v>
      </c>
      <c r="I46" s="593">
        <f t="shared" si="3"/>
        <v>0</v>
      </c>
      <c r="J46" s="593">
        <f t="shared" si="4"/>
        <v>0</v>
      </c>
      <c r="S46" s="592" t="s">
        <v>806</v>
      </c>
      <c r="T46" s="592" t="s">
        <v>807</v>
      </c>
      <c r="U46" s="592" t="s">
        <v>429</v>
      </c>
      <c r="V46" s="592" t="s">
        <v>429</v>
      </c>
      <c r="W46" s="593">
        <v>0</v>
      </c>
      <c r="X46" s="593">
        <v>2400929703</v>
      </c>
      <c r="Y46" s="593">
        <v>3070652163</v>
      </c>
      <c r="Z46" s="593">
        <f t="shared" si="6"/>
        <v>0</v>
      </c>
      <c r="AA46" s="593">
        <f t="shared" si="7"/>
        <v>2400929.7030000002</v>
      </c>
      <c r="AB46" s="593">
        <f t="shared" si="8"/>
        <v>3070652.1630000002</v>
      </c>
      <c r="AC46" s="593"/>
    </row>
    <row r="47" spans="1:29" ht="13.5" x14ac:dyDescent="0.25">
      <c r="S47" s="592" t="s">
        <v>430</v>
      </c>
      <c r="T47" s="592" t="s">
        <v>448</v>
      </c>
      <c r="U47" s="592" t="s">
        <v>429</v>
      </c>
      <c r="V47" s="592" t="s">
        <v>429</v>
      </c>
      <c r="W47" s="593">
        <v>17361590000</v>
      </c>
      <c r="X47" s="593">
        <v>0</v>
      </c>
      <c r="Y47" s="593">
        <v>0</v>
      </c>
      <c r="Z47" s="593">
        <f t="shared" si="6"/>
        <v>17361590</v>
      </c>
      <c r="AA47" s="593">
        <f t="shared" si="7"/>
        <v>0</v>
      </c>
      <c r="AB47" s="593">
        <f t="shared" si="8"/>
        <v>0</v>
      </c>
      <c r="AC47" s="593"/>
    </row>
    <row r="48" spans="1:29" ht="13.5" x14ac:dyDescent="0.25">
      <c r="S48" s="592" t="s">
        <v>433</v>
      </c>
      <c r="T48" s="592" t="s">
        <v>1043</v>
      </c>
      <c r="U48" s="592" t="s">
        <v>429</v>
      </c>
      <c r="V48" s="592" t="s">
        <v>429</v>
      </c>
      <c r="W48" s="593">
        <v>9905707000</v>
      </c>
      <c r="X48" s="593">
        <v>0</v>
      </c>
      <c r="Y48" s="593">
        <v>0</v>
      </c>
      <c r="Z48" s="593">
        <f t="shared" si="6"/>
        <v>9905707</v>
      </c>
      <c r="AA48" s="593">
        <f t="shared" si="7"/>
        <v>0</v>
      </c>
      <c r="AB48" s="593">
        <f t="shared" si="8"/>
        <v>0</v>
      </c>
      <c r="AC48" s="593"/>
    </row>
    <row r="49" spans="19:29" ht="13.5" x14ac:dyDescent="0.25">
      <c r="S49" s="592" t="s">
        <v>847</v>
      </c>
      <c r="T49" s="592" t="s">
        <v>848</v>
      </c>
      <c r="U49" s="592" t="s">
        <v>429</v>
      </c>
      <c r="V49" s="592" t="s">
        <v>429</v>
      </c>
      <c r="W49" s="593">
        <v>3995732000</v>
      </c>
      <c r="X49" s="593">
        <v>0</v>
      </c>
      <c r="Y49" s="593">
        <v>0</v>
      </c>
      <c r="Z49" s="593">
        <f t="shared" si="6"/>
        <v>3995732</v>
      </c>
      <c r="AA49" s="593">
        <f t="shared" si="7"/>
        <v>0</v>
      </c>
      <c r="AB49" s="593">
        <f t="shared" si="8"/>
        <v>0</v>
      </c>
      <c r="AC49" s="593"/>
    </row>
    <row r="50" spans="19:29" ht="13.5" x14ac:dyDescent="0.25">
      <c r="S50" s="592" t="s">
        <v>434</v>
      </c>
      <c r="T50" s="592" t="s">
        <v>127</v>
      </c>
      <c r="U50" s="592" t="s">
        <v>429</v>
      </c>
      <c r="V50" s="592" t="s">
        <v>429</v>
      </c>
      <c r="W50" s="593">
        <v>10100</v>
      </c>
      <c r="X50" s="593">
        <v>0</v>
      </c>
      <c r="Y50" s="593">
        <v>0</v>
      </c>
      <c r="Z50" s="593">
        <f t="shared" si="6"/>
        <v>10.1</v>
      </c>
      <c r="AA50" s="593">
        <f t="shared" si="7"/>
        <v>0</v>
      </c>
      <c r="AB50" s="593">
        <f t="shared" si="8"/>
        <v>0</v>
      </c>
      <c r="AC50" s="593"/>
    </row>
    <row r="51" spans="19:29" ht="13.5" x14ac:dyDescent="0.25">
      <c r="S51" s="592" t="s">
        <v>434</v>
      </c>
      <c r="T51" s="592" t="s">
        <v>127</v>
      </c>
      <c r="U51" s="592" t="s">
        <v>429</v>
      </c>
      <c r="V51" s="592" t="s">
        <v>429</v>
      </c>
      <c r="W51" s="593">
        <v>0</v>
      </c>
      <c r="X51" s="593">
        <v>43933736285</v>
      </c>
      <c r="Y51" s="593">
        <v>43933736285</v>
      </c>
      <c r="Z51" s="593">
        <f t="shared" si="6"/>
        <v>0</v>
      </c>
      <c r="AA51" s="593">
        <f t="shared" si="7"/>
        <v>43933736.284999996</v>
      </c>
      <c r="AB51" s="593">
        <f t="shared" si="8"/>
        <v>43933736.284999996</v>
      </c>
      <c r="AC51" s="593"/>
    </row>
    <row r="52" spans="19:29" ht="13.5" x14ac:dyDescent="0.25">
      <c r="S52" s="592" t="s">
        <v>1044</v>
      </c>
      <c r="T52" s="592" t="s">
        <v>124</v>
      </c>
      <c r="U52" s="592" t="s">
        <v>429</v>
      </c>
      <c r="V52" s="592" t="s">
        <v>429</v>
      </c>
      <c r="W52" s="593">
        <v>100</v>
      </c>
      <c r="X52" s="593">
        <v>0</v>
      </c>
      <c r="Y52" s="593">
        <v>0</v>
      </c>
      <c r="Z52" s="593">
        <f t="shared" si="6"/>
        <v>0.1</v>
      </c>
      <c r="AA52" s="593">
        <f t="shared" si="7"/>
        <v>0</v>
      </c>
      <c r="AB52" s="593">
        <f t="shared" si="8"/>
        <v>0</v>
      </c>
      <c r="AC52" s="593"/>
    </row>
    <row r="53" spans="19:29" ht="13.5" x14ac:dyDescent="0.25">
      <c r="W53" s="593"/>
      <c r="X53" s="593"/>
      <c r="Y53" s="593"/>
      <c r="Z53" s="593">
        <f t="shared" si="6"/>
        <v>0</v>
      </c>
      <c r="AA53" s="593">
        <f t="shared" si="7"/>
        <v>0</v>
      </c>
      <c r="AB53" s="593">
        <f t="shared" si="8"/>
        <v>0</v>
      </c>
      <c r="AC53" s="593"/>
    </row>
  </sheetData>
  <mergeCells count="3">
    <mergeCell ref="A1:G1"/>
    <mergeCell ref="L1:O1"/>
    <mergeCell ref="S1:Z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17</vt:i4>
      </vt:variant>
    </vt:vector>
  </HeadingPairs>
  <TitlesOfParts>
    <vt:vector size="31" baseType="lpstr">
      <vt:lpstr>GRAFICOS</vt:lpstr>
      <vt:lpstr>CONSOLIDADO</vt:lpstr>
      <vt:lpstr>P01 2025</vt:lpstr>
      <vt:lpstr>Prog 01</vt:lpstr>
      <vt:lpstr>Prog 02</vt:lpstr>
      <vt:lpstr>Prog 03</vt:lpstr>
      <vt:lpstr>Prog 05</vt:lpstr>
      <vt:lpstr>P01 2024</vt:lpstr>
      <vt:lpstr>P02 2025</vt:lpstr>
      <vt:lpstr>P02 2024</vt:lpstr>
      <vt:lpstr>P05 2025</vt:lpstr>
      <vt:lpstr>P05 2024</vt:lpstr>
      <vt:lpstr>P03 2024</vt:lpstr>
      <vt:lpstr>P03 2025</vt:lpstr>
      <vt:lpstr>CONSOLIDADO!Área_de_impresión</vt:lpstr>
      <vt:lpstr>'Prog 01'!Área_de_impresión</vt:lpstr>
      <vt:lpstr>'Prog 02'!Área_de_impresión</vt:lpstr>
      <vt:lpstr>'Prog 03'!Área_de_impresión</vt:lpstr>
      <vt:lpstr>'Prog 05'!Área_de_impresión</vt:lpstr>
      <vt:lpstr>coincidenciaP01</vt:lpstr>
      <vt:lpstr>indicep01</vt:lpstr>
      <vt:lpstr>'Prog 05'!matriz01</vt:lpstr>
      <vt:lpstr>matriz01</vt:lpstr>
      <vt:lpstr>matriz01.v2</vt:lpstr>
      <vt:lpstr>matriz02</vt:lpstr>
      <vt:lpstr>matriz03</vt:lpstr>
      <vt:lpstr>matriz2</vt:lpstr>
      <vt:lpstr>CONSOLIDADO!Títulos_a_imprimir</vt:lpstr>
      <vt:lpstr>'Prog 01'!Títulos_a_imprimir</vt:lpstr>
      <vt:lpstr>'Prog 03'!Títulos_a_imprimir</vt:lpstr>
      <vt:lpstr>'Prog 05'!Títulos_a_imprimir</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otorres</dc:creator>
  <cp:lastModifiedBy>JUAN IGNACIO CANCINO PACHECO</cp:lastModifiedBy>
  <cp:lastPrinted>2019-10-07T18:45:55Z</cp:lastPrinted>
  <dcterms:created xsi:type="dcterms:W3CDTF">2010-11-09T14:43:23Z</dcterms:created>
  <dcterms:modified xsi:type="dcterms:W3CDTF">2025-03-11T19:32:31Z</dcterms:modified>
</cp:coreProperties>
</file>